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55" windowHeight="7740" tabRatio="739" activeTab="0"/>
  </bookViews>
  <sheets>
    <sheet name="Metrics Survey" sheetId="1" r:id="rId1"/>
    <sheet name="Perceps" sheetId="2" r:id="rId2"/>
    <sheet name="Driver Cost" sheetId="3" r:id="rId3"/>
    <sheet name="Tank Data" sheetId="4" r:id="rId4"/>
    <sheet name="Truck Cost" sheetId="5" r:id="rId5"/>
    <sheet name="Delivery Cost" sheetId="6" r:id="rId6"/>
    <sheet name="ROI" sheetId="7" r:id="rId7"/>
    <sheet name="Pump TimeCost" sheetId="8" r:id="rId8"/>
    <sheet name="ROI Notes" sheetId="9" r:id="rId9"/>
    <sheet name="Template" sheetId="10" r:id="rId10"/>
    <sheet name="Fleet Fueling Analysis" sheetId="11" r:id="rId11"/>
    <sheet name="Targets" sheetId="12" r:id="rId12"/>
  </sheets>
  <definedNames>
    <definedName name="_xlnm.Print_Area" localSheetId="5">'Delivery Cost'!$B$1:$J$23</definedName>
    <definedName name="_xlnm.Print_Area" localSheetId="2">'Driver Cost'!$B$1:$M$28</definedName>
    <definedName name="_xlnm.Print_Area" localSheetId="0">'Metrics Survey'!$B$1:$K$37</definedName>
    <definedName name="_xlnm.Print_Area" localSheetId="1">'Perceps'!$A$31:$AQ$78</definedName>
    <definedName name="_xlnm.Print_Area" localSheetId="7">'Pump TimeCost'!$A$1:$Q$26</definedName>
    <definedName name="_xlnm.Print_Area" localSheetId="11">'Targets'!$B$3:$R$60</definedName>
    <definedName name="_xlnm.Print_Area" localSheetId="4">'Truck Cost'!$C$1:$M$32</definedName>
  </definedNames>
  <calcPr fullCalcOnLoad="1"/>
</workbook>
</file>

<file path=xl/comments3.xml><?xml version="1.0" encoding="utf-8"?>
<comments xmlns="http://schemas.openxmlformats.org/spreadsheetml/2006/main">
  <authors>
    <author>Richard J. Martin</author>
  </authors>
  <commentList>
    <comment ref="C10" authorId="0">
      <text>
        <r>
          <rPr>
            <b/>
            <sz val="12"/>
            <color indexed="10"/>
            <rFont val="Tahoma"/>
            <family val="2"/>
          </rPr>
          <t>DRIVER COST CALCULATOR:</t>
        </r>
        <r>
          <rPr>
            <sz val="10"/>
            <rFont val="Tahoma"/>
            <family val="2"/>
          </rPr>
          <t xml:space="preserve">
In the</t>
        </r>
        <r>
          <rPr>
            <b/>
            <sz val="10"/>
            <rFont val="Tahoma"/>
            <family val="2"/>
          </rPr>
          <t xml:space="preserve"> </t>
        </r>
        <r>
          <rPr>
            <b/>
            <sz val="10"/>
            <color indexed="51"/>
            <rFont val="Tahoma"/>
            <family val="2"/>
          </rPr>
          <t>YELLOW</t>
        </r>
        <r>
          <rPr>
            <sz val="10"/>
            <rFont val="Tahoma"/>
            <family val="2"/>
          </rPr>
          <t xml:space="preserve"> fields, enter your Driver Cost data on an hourly basis along with the hours and # of deliveries per day.  The result "Average Driver Cost per Day" will be used in the ROI Model. </t>
        </r>
      </text>
    </comment>
  </commentList>
</comments>
</file>

<file path=xl/comments4.xml><?xml version="1.0" encoding="utf-8"?>
<comments xmlns="http://schemas.openxmlformats.org/spreadsheetml/2006/main">
  <authors>
    <author>Richard J. Martin</author>
  </authors>
  <commentList>
    <comment ref="J2" authorId="0">
      <text>
        <r>
          <rPr>
            <b/>
            <sz val="12"/>
            <color indexed="10"/>
            <rFont val="Tahoma"/>
            <family val="2"/>
          </rPr>
          <t>TANK DELIVERY DATA:</t>
        </r>
        <r>
          <rPr>
            <sz val="8"/>
            <rFont val="Tahoma"/>
            <family val="2"/>
          </rPr>
          <t xml:space="preserve">
Enter your TANK SPECIFIC deliveries for the month you are evaluating.  You may enter up to 25 deliveries.  When you change tank data make sure you clear all prior entries in the yellow fields using the "EDIT - CLEAR CONTENTS" feature.  If anything is in the cells the count and average will include those fields.
The simple method is to clear all and then re-enter new tank data.
</t>
        </r>
        <r>
          <rPr>
            <b/>
            <sz val="8"/>
            <color indexed="10"/>
            <rFont val="Tahoma"/>
            <family val="2"/>
          </rPr>
          <t>You may only clear or enter in the yellow fields.</t>
        </r>
      </text>
    </comment>
  </commentList>
</comments>
</file>

<file path=xl/comments5.xml><?xml version="1.0" encoding="utf-8"?>
<comments xmlns="http://schemas.openxmlformats.org/spreadsheetml/2006/main">
  <authors>
    <author>Richard J. Martin</author>
  </authors>
  <commentList>
    <comment ref="C10" authorId="0">
      <text>
        <r>
          <rPr>
            <b/>
            <sz val="12"/>
            <color indexed="10"/>
            <rFont val="Tahoma"/>
            <family val="2"/>
          </rPr>
          <t>TRUCK COST CALCULATOR:</t>
        </r>
        <r>
          <rPr>
            <sz val="10"/>
            <rFont val="Tahoma"/>
            <family val="2"/>
          </rPr>
          <t xml:space="preserve">
In the </t>
        </r>
        <r>
          <rPr>
            <b/>
            <sz val="10"/>
            <color indexed="51"/>
            <rFont val="Tahoma"/>
            <family val="2"/>
          </rPr>
          <t>YELLOW</t>
        </r>
        <r>
          <rPr>
            <sz val="10"/>
            <rFont val="Tahoma"/>
            <family val="2"/>
          </rPr>
          <t xml:space="preserve"> fields, enter your annual truck costs.  If you wish enter total costs for all trucks, </t>
        </r>
        <r>
          <rPr>
            <b/>
            <sz val="10"/>
            <color indexed="10"/>
            <rFont val="Tahoma"/>
            <family val="2"/>
          </rPr>
          <t>then enter the number of trucks included.</t>
        </r>
        <r>
          <rPr>
            <sz val="10"/>
            <rFont val="Tahoma"/>
            <family val="2"/>
          </rPr>
          <t xml:space="preserve">  The model will calculate the Average Daily Cost for one truck.  The result "Total Daily Cost per Truck" will be used in the ROI Model. 
                                              (</t>
        </r>
        <r>
          <rPr>
            <sz val="10"/>
            <color indexed="10"/>
            <rFont val="Tahoma"/>
            <family val="2"/>
          </rPr>
          <t xml:space="preserve">Data entry only allowed in the </t>
        </r>
        <r>
          <rPr>
            <u val="single"/>
            <sz val="10"/>
            <color indexed="10"/>
            <rFont val="Tahoma"/>
            <family val="2"/>
          </rPr>
          <t>YELLOW</t>
        </r>
        <r>
          <rPr>
            <sz val="10"/>
            <color indexed="10"/>
            <rFont val="Tahoma"/>
            <family val="2"/>
          </rPr>
          <t xml:space="preserve"> highlighted areas</t>
        </r>
        <r>
          <rPr>
            <sz val="10"/>
            <rFont val="Tahoma"/>
            <family val="2"/>
          </rPr>
          <t xml:space="preserve">)   </t>
        </r>
      </text>
    </comment>
  </commentList>
</comments>
</file>

<file path=xl/comments6.xml><?xml version="1.0" encoding="utf-8"?>
<comments xmlns="http://schemas.openxmlformats.org/spreadsheetml/2006/main">
  <authors>
    <author>Richard J. Martin</author>
  </authors>
  <commentList>
    <comment ref="C10" authorId="0">
      <text>
        <r>
          <rPr>
            <b/>
            <sz val="12"/>
            <color indexed="10"/>
            <rFont val="Tahoma"/>
            <family val="2"/>
          </rPr>
          <t>DELIVERY COST CALCULATOR</t>
        </r>
        <r>
          <rPr>
            <b/>
            <sz val="10"/>
            <color indexed="10"/>
            <rFont val="Tahoma"/>
            <family val="2"/>
          </rPr>
          <t>:</t>
        </r>
        <r>
          <rPr>
            <sz val="10"/>
            <rFont val="Tahoma"/>
            <family val="2"/>
          </rPr>
          <t xml:space="preserve">
All data is brought in from the  "CALCULATORS".  These are your results.  Your "Average Cost per Delivery" is shown at the bottom as well as Cost per Delivery Hour.  This "Average Cost per Delivery" will be used in the ROI model.</t>
        </r>
      </text>
    </comment>
  </commentList>
</comments>
</file>

<file path=xl/comments7.xml><?xml version="1.0" encoding="utf-8"?>
<comments xmlns="http://schemas.openxmlformats.org/spreadsheetml/2006/main">
  <authors>
    <author>Richard J. Martin</author>
  </authors>
  <commentList>
    <comment ref="F9" authorId="0">
      <text>
        <r>
          <rPr>
            <b/>
            <sz val="12"/>
            <color indexed="10"/>
            <rFont val="Tahoma"/>
            <family val="2"/>
          </rPr>
          <t xml:space="preserve">ROI MODEL:
</t>
        </r>
        <r>
          <rPr>
            <sz val="8"/>
            <rFont val="Tahoma"/>
            <family val="2"/>
          </rPr>
          <t xml:space="preserve">
In the </t>
        </r>
        <r>
          <rPr>
            <sz val="8"/>
            <color indexed="51"/>
            <rFont val="Tahoma"/>
            <family val="2"/>
          </rPr>
          <t>YELLOW</t>
        </r>
        <r>
          <rPr>
            <sz val="8"/>
            <rFont val="Tahoma"/>
            <family val="2"/>
          </rPr>
          <t xml:space="preserve"> field, enter your PROJECTED delivery efficiency with SMARTank monitor.  </t>
        </r>
        <r>
          <rPr>
            <b/>
            <u val="single"/>
            <sz val="8"/>
            <rFont val="Tahoma"/>
            <family val="2"/>
          </rPr>
          <t>80%</t>
        </r>
        <r>
          <rPr>
            <sz val="8"/>
            <rFont val="Tahoma"/>
            <family val="2"/>
          </rPr>
          <t xml:space="preserve"> is the average typically realized.  All other data is brought in from the  "CALCULATORS".</t>
        </r>
      </text>
    </comment>
    <comment ref="H19" authorId="0">
      <text>
        <r>
          <rPr>
            <sz val="8"/>
            <rFont val="Tahoma"/>
            <family val="2"/>
          </rPr>
          <t xml:space="preserve">
</t>
        </r>
        <r>
          <rPr>
            <b/>
            <sz val="12"/>
            <color indexed="10"/>
            <rFont val="Tahoma"/>
            <family val="2"/>
          </rPr>
          <t xml:space="preserve">ADMINISTRATIVE SAVINGS:
</t>
        </r>
        <r>
          <rPr>
            <sz val="8"/>
            <rFont val="Tahoma"/>
            <family val="2"/>
          </rPr>
          <t xml:space="preserve">
In the </t>
        </r>
        <r>
          <rPr>
            <b/>
            <sz val="8"/>
            <color indexed="51"/>
            <rFont val="Tahoma"/>
            <family val="2"/>
          </rPr>
          <t>YELLOW</t>
        </r>
        <r>
          <rPr>
            <sz val="8"/>
            <rFont val="Tahoma"/>
            <family val="2"/>
          </rPr>
          <t xml:space="preserve"> field, enter your average cost to generate and process an invoice.  With efficiency of delivery comes fewer # of deliveries and therefore fewer invoices to process.</t>
        </r>
      </text>
    </comment>
  </commentList>
</comments>
</file>

<file path=xl/sharedStrings.xml><?xml version="1.0" encoding="utf-8"?>
<sst xmlns="http://schemas.openxmlformats.org/spreadsheetml/2006/main" count="775" uniqueCount="588">
  <si>
    <t>Benchmarking &amp; Targets</t>
  </si>
  <si>
    <t>a</t>
  </si>
  <si>
    <t>b</t>
  </si>
  <si>
    <t>c</t>
  </si>
  <si>
    <t>Ops Cost/Hour</t>
  </si>
  <si>
    <t>Margin/Gal</t>
  </si>
  <si>
    <t>Purch Cost vs OPIS</t>
  </si>
  <si>
    <t>Volume/Del</t>
  </si>
  <si>
    <t>Terminals Carded</t>
  </si>
  <si>
    <t>Contracts/Allocations</t>
  </si>
  <si>
    <t>Terminal Wait Lines</t>
  </si>
  <si>
    <t>Gross Margin/Hour</t>
  </si>
  <si>
    <t>Floats</t>
  </si>
  <si>
    <t xml:space="preserve"> </t>
  </si>
  <si>
    <t>JIT Ullage</t>
  </si>
  <si>
    <t>Weather</t>
  </si>
  <si>
    <t>Know When to Go</t>
  </si>
  <si>
    <t>Time/Del</t>
  </si>
  <si>
    <t>Routing</t>
  </si>
  <si>
    <t>Distance Travel Between</t>
  </si>
  <si>
    <t>Terminal</t>
  </si>
  <si>
    <t># of Trips to Terminal</t>
  </si>
  <si>
    <t>Truck Capacity</t>
  </si>
  <si>
    <t>Low Buy</t>
  </si>
  <si>
    <t>Variables</t>
  </si>
  <si>
    <t>% Drivers Carded Tracking - Effectiveness</t>
  </si>
  <si>
    <t>Driver Behavior</t>
  </si>
  <si>
    <t>% in Compliance, Thinking, Effectiveness</t>
  </si>
  <si>
    <t>Database &amp; Execution &amp; Tracking, Dashboard RTSRBM</t>
  </si>
  <si>
    <t>Database &amp; Execution &amp; Tracking, Dashboard RTSRBM &amp; Exception Reporting (email, summary reports, real time dashboards - running results versus avg for the day</t>
  </si>
  <si>
    <t>Target
Measures</t>
  </si>
  <si>
    <t>Material
Influences</t>
  </si>
  <si>
    <t>Volatility &amp; Impacting Influences</t>
  </si>
  <si>
    <t>Quantification
Factors</t>
  </si>
  <si>
    <t>Prices Going Up or Down</t>
  </si>
  <si>
    <t>$/Gal</t>
  </si>
  <si>
    <t>Alerts &amp; Alarms - Real Time BOL, SMARTBuy</t>
  </si>
  <si>
    <t>OPIS Feeds</t>
  </si>
  <si>
    <t>% Tank Fill</t>
  </si>
  <si>
    <t>Tank Monitors/AI/ORTEC</t>
  </si>
  <si>
    <t>GPS Tracking/Route Optimizations/Real Time Controls</t>
  </si>
  <si>
    <t>Business Methods</t>
  </si>
  <si>
    <t>Dispatch Highgrade Focus &amp; Activities</t>
  </si>
  <si>
    <t>RTSRBM</t>
  </si>
  <si>
    <t>Real Time Dashboards</t>
  </si>
  <si>
    <t>Performance Metrics</t>
  </si>
  <si>
    <t>Exception Reporting &amp; Alerts</t>
  </si>
  <si>
    <t>SMARTBuy</t>
  </si>
  <si>
    <t>Perpetual Inventory Tracking</t>
  </si>
  <si>
    <t>Fuel Movement Tracking</t>
  </si>
  <si>
    <t>Paperless Order Entry</t>
  </si>
  <si>
    <t>Paperless Order Dispatch</t>
  </si>
  <si>
    <t xml:space="preserve">Automated Data Flow </t>
  </si>
  <si>
    <t>Automated Transaction Posting</t>
  </si>
  <si>
    <t>Process ReEngineering</t>
  </si>
  <si>
    <t>Organization Focus Effectiveness</t>
  </si>
  <si>
    <t>Measuring</t>
  </si>
  <si>
    <t>Controls - Real Time</t>
  </si>
  <si>
    <t>Effective Use of Assets</t>
  </si>
  <si>
    <t>More Gallons per Delivery</t>
  </si>
  <si>
    <t>More Gallons per Shift/Truck</t>
  </si>
  <si>
    <t>Benchmarking</t>
  </si>
  <si>
    <t>Cost &amp; Margin Indicators - Real Time</t>
  </si>
  <si>
    <t>Overtime Controls/Alerts</t>
  </si>
  <si>
    <t>Per Shift Margin and Cost Indicators</t>
  </si>
  <si>
    <t>Actual Average Gallon Fill</t>
  </si>
  <si>
    <t>Actual %</t>
  </si>
  <si>
    <t>Est. Average Cost to Fill</t>
  </si>
  <si>
    <t>Truck Pump GPM</t>
  </si>
  <si>
    <t>Pump Time-Minutes</t>
  </si>
  <si>
    <t>Driver Cost Calculator</t>
  </si>
  <si>
    <t>Driver Hourly Pay Rate</t>
  </si>
  <si>
    <t>Benefits Rate %</t>
  </si>
  <si>
    <t>Loaded Driver Hourly Cost</t>
  </si>
  <si>
    <t>Average Hours per Day</t>
  </si>
  <si>
    <t>Loaded Driver Cost per Hour (w/overtime)</t>
  </si>
  <si>
    <t>Average # of Deliveries per Day</t>
  </si>
  <si>
    <t>Driver Cost per Delivery</t>
  </si>
  <si>
    <t>Average Driver Cost per Day</t>
  </si>
  <si>
    <t>Truck Cost Calculator</t>
  </si>
  <si>
    <t>Fixed Cost Calculator</t>
  </si>
  <si>
    <t>Annual</t>
  </si>
  <si>
    <t>Monthly</t>
  </si>
  <si>
    <t>Daily</t>
  </si>
  <si>
    <t>Depreciation</t>
  </si>
  <si>
    <t>Registration &amp; Taxes</t>
  </si>
  <si>
    <t>Repair &amp; Maintenance</t>
  </si>
  <si>
    <t>Lease or Interest Expense</t>
  </si>
  <si>
    <t>Insurance</t>
  </si>
  <si>
    <t>Other  Fixed Costs</t>
  </si>
  <si>
    <t>TOTAL FIXED TRUCK COSTS</t>
  </si>
  <si>
    <t>Number of Trucks Included</t>
  </si>
  <si>
    <t>Fixed Cost per Truck</t>
  </si>
  <si>
    <t>Variable Cost Calculator</t>
  </si>
  <si>
    <t>Rate/Unit</t>
  </si>
  <si>
    <t>Fuel (mpg)</t>
  </si>
  <si>
    <t>PM &amp; Repairs ($ per mile)</t>
  </si>
  <si>
    <t>Variable Cost per Truck</t>
  </si>
  <si>
    <t>Total Daily Cost per Truck</t>
  </si>
  <si>
    <t>Delivery Cost Calculator</t>
  </si>
  <si>
    <t xml:space="preserve">Daily </t>
  </si>
  <si>
    <t xml:space="preserve"> Work Days/Month</t>
  </si>
  <si>
    <r>
      <t>Loaded Driver Cost</t>
    </r>
    <r>
      <rPr>
        <sz val="8"/>
        <rFont val="Arial"/>
        <family val="2"/>
      </rPr>
      <t xml:space="preserve"> </t>
    </r>
  </si>
  <si>
    <t xml:space="preserve">Loaded Truck Cost </t>
  </si>
  <si>
    <t>Total Driver &amp; Truck Cost</t>
  </si>
  <si>
    <t>Cost per Delivery Hour</t>
  </si>
  <si>
    <t>Average Cost per Delivery</t>
  </si>
  <si>
    <t>Route</t>
  </si>
  <si>
    <t>Schedule</t>
  </si>
  <si>
    <t>Tank ID</t>
  </si>
  <si>
    <t>Tank Size</t>
  </si>
  <si>
    <t>Product</t>
  </si>
  <si>
    <t>Delivery Date</t>
  </si>
  <si>
    <t>Units Delivered</t>
  </si>
  <si>
    <t>% Efficiency</t>
  </si>
  <si>
    <t>syracuse</t>
  </si>
  <si>
    <t>M-F</t>
  </si>
  <si>
    <t>LS #2</t>
  </si>
  <si>
    <t>UTLER &amp; SONS POULTRY</t>
  </si>
  <si>
    <t>Customer</t>
  </si>
  <si>
    <t>Tank Analysis Results</t>
  </si>
  <si>
    <t xml:space="preserve"> # of Deliveries =</t>
  </si>
  <si>
    <t>Total Gallons =</t>
  </si>
  <si>
    <t>Average Gals per Delivery =</t>
  </si>
  <si>
    <t>Average Delivery Efficiency</t>
  </si>
  <si>
    <t xml:space="preserve"> ROI MODEL - INDIVIDUAL TANK CASE</t>
  </si>
  <si>
    <t>UN-SMART</t>
  </si>
  <si>
    <t>SMART</t>
  </si>
  <si>
    <t>Tank Size =</t>
  </si>
  <si>
    <t>Monthly Volume Thru-put =</t>
  </si>
  <si>
    <t>Average Gallons per Delivery =</t>
  </si>
  <si>
    <t># of Deliveries per Month =</t>
  </si>
  <si>
    <t>Delivery Efficiency % =</t>
  </si>
  <si>
    <t>Delivery Cost (Truck &amp; Driver) =</t>
  </si>
  <si>
    <t>SMARTank RESULTS</t>
  </si>
  <si>
    <t>Delivery Cost per Gallon =</t>
  </si>
  <si>
    <t>-</t>
  </si>
  <si>
    <t>=</t>
  </si>
  <si>
    <t>Delivery Cost Savings per Gallon</t>
  </si>
  <si>
    <t xml:space="preserve">SMARTank Cost per Gallon </t>
  </si>
  <si>
    <t xml:space="preserve">Net Savings per Gallon </t>
  </si>
  <si>
    <t xml:space="preserve">Operational ROI </t>
  </si>
  <si>
    <t># of Invoices per Month =</t>
  </si>
  <si>
    <t xml:space="preserve"># of Invoices SAVED per Month </t>
  </si>
  <si>
    <t xml:space="preserve">Cost to Generate &amp; Process an Invoice </t>
  </si>
  <si>
    <t>SMARTank Monthly Cost Savings</t>
  </si>
  <si>
    <t>+</t>
  </si>
  <si>
    <t>Delivery Cost Savings</t>
  </si>
  <si>
    <t>SMARTank Monitor Cost</t>
  </si>
  <si>
    <t>Net Operational Savings</t>
  </si>
  <si>
    <t>Invoice Savings</t>
  </si>
  <si>
    <t>TOTAL MONTHLY SAVINGS</t>
  </si>
  <si>
    <t>Total ROI</t>
  </si>
  <si>
    <t>plus the truck (costs for truck and driver are fairly fixed when running for the day) so can deliver roughly 43% more gallons in the same # of stops, so if the gallons don't change for the tanks being served, then he can either deliver the same # of gallons in xx less days, or deliver more 43% more gallons in the month, so to get total savings, either add on 43% more margin for the month , which assumes that the gallons and tanks are available, or just credit the value analysis 43% of the truck and driver cost for teh month, that isn't double dipping is it ??? , thereby freeing the truck &amp; driver for those days to run more gallons (margin) or eliminate a truck and driver.</t>
  </si>
  <si>
    <t>unsmart</t>
  </si>
  <si>
    <t>smart</t>
  </si>
  <si>
    <t>typical # of deliveries per day =</t>
  </si>
  <si>
    <t>or typical gallons per day (unsmart) =</t>
  </si>
  <si>
    <t>either show 43% less monthly cost against the truck/driver or show 43% of the gallons * margin as added value, the numbers are stupid but the logic is good, there are several ways of looking at or attacking the value, need to test with some real world scenarios and people challenging the conepts</t>
  </si>
  <si>
    <t>gallons per month</t>
  </si>
  <si>
    <t>or simply stated, you can reduce your fleet by 43% and still save the above roi, plus 43% of your fleet and drivers</t>
  </si>
  <si>
    <t>Gallons Per Delivery</t>
  </si>
  <si>
    <t>Time Per 100</t>
  </si>
  <si>
    <t>Cost Per 100</t>
  </si>
  <si>
    <t>Margin $/Gal=</t>
  </si>
  <si>
    <t>Margin $/100=</t>
  </si>
  <si>
    <t>Truck Delivery Metrics &amp; Measures</t>
  </si>
  <si>
    <t>Margin/Hour vs Cost/Hour</t>
  </si>
  <si>
    <t>Gallons per Shift</t>
  </si>
  <si>
    <t># Deliveries/Shift</t>
  </si>
  <si>
    <t>Incremental Cost Calculator</t>
  </si>
  <si>
    <t>First Shift</t>
  </si>
  <si>
    <t>Second Shift or Added Deliveries Cost</t>
  </si>
  <si>
    <t>Incremental Miles/Day</t>
  </si>
  <si>
    <t>Hours Per Incremental Delivery</t>
  </si>
  <si>
    <t># of Incremental Deliveries</t>
  </si>
  <si>
    <t>Loaded Driver Cost per Delivery (w/overtime)</t>
  </si>
  <si>
    <t>Average # of Gallons per Delivery</t>
  </si>
  <si>
    <t>Driver Incremental Cost Calculator</t>
  </si>
  <si>
    <t xml:space="preserve"> Driver Cost per Incremental Gallon</t>
  </si>
  <si>
    <t>O.T.</t>
  </si>
  <si>
    <t>TARGETS &amp; VARIABLES</t>
  </si>
  <si>
    <t>Per Delivery Time (Minutes)</t>
  </si>
  <si>
    <r>
      <t xml:space="preserve">Loaded Driver Cost per Hour </t>
    </r>
    <r>
      <rPr>
        <b/>
        <sz val="10"/>
        <color indexed="53"/>
        <rFont val="Arial"/>
        <family val="2"/>
      </rPr>
      <t>(w/overtime)</t>
    </r>
  </si>
  <si>
    <t>Average Tank Size</t>
  </si>
  <si>
    <t>% Rebills or Invoice Errors</t>
  </si>
  <si>
    <t>Hourly Rate for Billing Clerk</t>
  </si>
  <si>
    <t>Cost per Gallon for Tank delivery (&lt;2000 Gallons)</t>
  </si>
  <si>
    <t>Cost per Gallon for Tank delivery (&lt;1000 Gallons)</t>
  </si>
  <si>
    <t>Hourly Cost for Truck &amp; Driver (4400  Gallon Rig)</t>
  </si>
  <si>
    <t>Hourly Cost for Truck &amp; Driver (2800  Gallon Rig)</t>
  </si>
  <si>
    <t># of Drivers per Dispatcher</t>
  </si>
  <si>
    <t>Margin $ per Hour for Tank delivery (&lt;2000 Gallons)</t>
  </si>
  <si>
    <t>Margin $ per Hour for Tank delivery (&lt;1000 Gallons)</t>
  </si>
  <si>
    <t>TOTAL COST PER DAY PER TRUCK FOR SMARTLOGIX SYSTEM</t>
  </si>
  <si>
    <t xml:space="preserve">* ALL QUESTIONS ARE FOR T/W (Bobtail) OPERATIONS </t>
  </si>
  <si>
    <t>* TYPICAL TRUCK SIZE (2200 - 4400 GALLONS)</t>
  </si>
  <si>
    <t>* TYPICAL DELIVERY TANK SIZES (550 - 3000 GALLONS)</t>
  </si>
  <si>
    <t>Distributor Name:</t>
  </si>
  <si>
    <t>Distributor EMAIL:</t>
  </si>
  <si>
    <t>Industry Average</t>
  </si>
  <si>
    <r>
      <t xml:space="preserve">Average % Tank Fill </t>
    </r>
    <r>
      <rPr>
        <b/>
        <sz val="10"/>
        <color indexed="53"/>
        <rFont val="Arial"/>
        <family val="2"/>
      </rPr>
      <t>(Avg Delivery as Percent of Tank Size)</t>
    </r>
  </si>
  <si>
    <t>%</t>
  </si>
  <si>
    <t>Gals</t>
  </si>
  <si>
    <t>Average Gallons per Delivery</t>
  </si>
  <si>
    <t>Gross Margin $.00/Gal (Tank Delivery &lt;2000 Gallons)</t>
  </si>
  <si>
    <t># of Orders per Driver per Shift</t>
  </si>
  <si>
    <t>Your Estimate</t>
  </si>
  <si>
    <t>Gross Margin $.00/Gal (Tank Delivery &lt;1000 Gallons)</t>
  </si>
  <si>
    <t>Gross Margin $.00/Gal (Fleet-Wethosing)</t>
  </si>
  <si>
    <t>Dispatch Cost to Plan, Process &amp; Reconcile Delivery</t>
  </si>
  <si>
    <t>* ALL DISTRIBUTOR SPECIFIC INFO IS KEPT CONFIDENTIAL AND ONLY USED AS PART OFAVERAGE CALCULATION</t>
  </si>
  <si>
    <t xml:space="preserve">                      YOU WILL RECEIVE RESULTS VIA EMAIL</t>
  </si>
  <si>
    <t>Average Estimate</t>
  </si>
  <si>
    <t>"Best of Breed" TARGETS</t>
  </si>
  <si>
    <t>Admin. Cost to Process an Order, Post A/R &amp; Invoice</t>
  </si>
  <si>
    <t>Gallons Per Route or Shift (Truck Size Specific)</t>
  </si>
  <si>
    <t>Miles Driven per Shift</t>
  </si>
  <si>
    <t>% Time Driving per Shift</t>
  </si>
  <si>
    <t>% Time Loading per Shift</t>
  </si>
  <si>
    <t>% Time Pumping per Shift</t>
  </si>
  <si>
    <t>% Time Admin per Shift</t>
  </si>
  <si>
    <t>Cost per Shift</t>
  </si>
  <si>
    <t>% OT</t>
  </si>
  <si>
    <t>Driver Behavior (Quantify &amp; Qualify)</t>
  </si>
  <si>
    <t>Cost of Driver/Truck per Transaction</t>
  </si>
  <si>
    <t>Cost of Dispatch/Managing Orders per Tarnsaction</t>
  </si>
  <si>
    <t>Cost of Tracking and Processing BOL</t>
  </si>
  <si>
    <t># of Deliveries per $100 of Margin</t>
  </si>
  <si>
    <t>$/Delivery Cost (Truck/Driver) per $100 of Margin</t>
  </si>
  <si>
    <t>$ of Margin per Shift</t>
  </si>
  <si>
    <t>$ of Margin per T/W (Various Sizes)</t>
  </si>
  <si>
    <t>$ of Margin per 100 Miles Driven</t>
  </si>
  <si>
    <t>Avg $ Margin per Transaction</t>
  </si>
  <si>
    <t>Cost of Admin/CSR/Billing per Transaction</t>
  </si>
  <si>
    <t>Want:</t>
  </si>
  <si>
    <t>More Margin $ per Transaction</t>
  </si>
  <si>
    <t>Less Miles per $100 of Margin</t>
  </si>
  <si>
    <t>Fewer Trucks per $ Margin</t>
  </si>
  <si>
    <t>Fewer Drivers per $ Margin</t>
  </si>
  <si>
    <t>More Margin per Truck per Day</t>
  </si>
  <si>
    <t xml:space="preserve">More Margin $ per BOL </t>
  </si>
  <si>
    <t>Fewer Tickets per truck per shift for same margin-Gals</t>
  </si>
  <si>
    <t>Cost to reconcile and Enter Shift into Backoffice</t>
  </si>
  <si>
    <t># Miles /Shift</t>
  </si>
  <si>
    <t>Gross Margin $</t>
  </si>
  <si>
    <t>Assumptions</t>
  </si>
  <si>
    <t>Margin per Gallon</t>
  </si>
  <si>
    <t>Per Shift Analysis</t>
  </si>
  <si>
    <t>Tank Sizes &gt;&gt;&gt;</t>
  </si>
  <si>
    <t>Gallons Per Minute Pump &gt;&gt;&gt;</t>
  </si>
  <si>
    <t>Reasonable point that you can save 1 delivery but still gain the same gals and margin - save $45 -60 against $17 - 20.</t>
  </si>
  <si>
    <t>Size of Delivery - can you make another 100 gallons at &gt;18 cents per gallon …that pays for the system</t>
  </si>
  <si>
    <t>Labor - Can you save an hour of a Driver time thru better tracking and behavior patterns …</t>
  </si>
  <si>
    <t>Fuel Cost - Can you save $.0025 - &gt;005 /gal on Best Buy for a shift of fuel 4400 +</t>
  </si>
  <si>
    <t>Inventory &amp; Flushing - What about shrinkage ….what about flushing and the road tax that gets flushed away ...</t>
  </si>
  <si>
    <t>Total Cost</t>
  </si>
  <si>
    <t>Cost</t>
  </si>
  <si>
    <t>Margin</t>
  </si>
  <si>
    <t>Per Delivery Analysis - Actual Results</t>
  </si>
  <si>
    <t>Billing Cycle Measures &amp; Targets</t>
  </si>
  <si>
    <t>Quantity Based Pricing</t>
  </si>
  <si>
    <t>OPIS Based</t>
  </si>
  <si>
    <t>Business rules</t>
  </si>
  <si>
    <t xml:space="preserve">Decision based </t>
  </si>
  <si>
    <t>Truck Cost per Day</t>
  </si>
  <si>
    <t>Driver Cost per Day</t>
  </si>
  <si>
    <t>Depreciation &amp; Amortization</t>
  </si>
  <si>
    <t>Miles per Day</t>
  </si>
  <si>
    <t>Cost/Transaction</t>
  </si>
  <si>
    <t>Order Processing</t>
  </si>
  <si>
    <t>Dispatch Planning Etc</t>
  </si>
  <si>
    <t>Billing and Reconcile</t>
  </si>
  <si>
    <t>Taking Orders</t>
  </si>
  <si>
    <t>Paper Pushing</t>
  </si>
  <si>
    <t>Ongoing Orders</t>
  </si>
  <si>
    <t>Decision - When to go</t>
  </si>
  <si>
    <t>Reconcile Shift</t>
  </si>
  <si>
    <t>Pull Paperwork together</t>
  </si>
  <si>
    <t>Key Tickets into Backoffice</t>
  </si>
  <si>
    <t>$                      /Delivery</t>
  </si>
  <si>
    <t>$   0._________/Gallon</t>
  </si>
  <si>
    <t>Mins                   /Delivery</t>
  </si>
  <si>
    <t>$                        /Delivery</t>
  </si>
  <si>
    <t>$                          /Order</t>
  </si>
  <si>
    <t>$                            /Hour</t>
  </si>
  <si>
    <t>$   0.__________/Gallon</t>
  </si>
  <si>
    <t>$                           /Hour</t>
  </si>
  <si>
    <t>Gals                   /Delivery</t>
  </si>
  <si>
    <t>$                    /Truck/Day</t>
  </si>
  <si>
    <t>Can you realize an increase in the total gallons delivered per Truck to …</t>
  </si>
  <si>
    <t>Pumping</t>
  </si>
  <si>
    <t>Driving</t>
  </si>
  <si>
    <t>Idle</t>
  </si>
  <si>
    <t>Loading</t>
  </si>
  <si>
    <t>Admin</t>
  </si>
  <si>
    <t>% Time - Driver &amp; Truck</t>
  </si>
  <si>
    <t>$ Margin/Mile</t>
  </si>
  <si>
    <t>Total Miles</t>
  </si>
  <si>
    <t>Total Gallons</t>
  </si>
  <si>
    <t>Total Margin</t>
  </si>
  <si>
    <t>Total Hours</t>
  </si>
  <si>
    <t># of Deliveries</t>
  </si>
  <si>
    <t># of Loadings</t>
  </si>
  <si>
    <t># of Pieces Fueled</t>
  </si>
  <si>
    <t>Fewer Loadings &amp; Flushes per $ Margin</t>
  </si>
  <si>
    <t>Transaction - Processing a shift per truck …does the system save at least one hour of combined Admin/Dispatch labor to reconcile and key in orders and post sales transactions.</t>
  </si>
  <si>
    <t>Real Time Data &amp; Metrics - If you can see the truck activities and respond to emergency deliveries or opportunities from the "Complete Picture" can you save $20 per day per Truck.</t>
  </si>
  <si>
    <r>
      <t>T/W Operations</t>
    </r>
    <r>
      <rPr>
        <b/>
        <i/>
        <sz val="20"/>
        <color indexed="52"/>
        <rFont val="Arial"/>
        <family val="2"/>
      </rPr>
      <t xml:space="preserve"> </t>
    </r>
    <r>
      <rPr>
        <b/>
        <i/>
        <sz val="18"/>
        <color indexed="23"/>
        <rFont val="Arial"/>
        <family val="2"/>
      </rPr>
      <t xml:space="preserve">LOGISTICS BENCHMARKING (PERCEPTIONS) </t>
    </r>
    <r>
      <rPr>
        <b/>
        <i/>
        <sz val="18"/>
        <color indexed="52"/>
        <rFont val="Arial"/>
        <family val="2"/>
      </rPr>
      <t>SURVEY</t>
    </r>
  </si>
  <si>
    <t>Optimized Average Gallon Fill</t>
  </si>
  <si>
    <t>Per Delivery Analysis - Optimized versus Actual</t>
  </si>
  <si>
    <t>Optimal Target</t>
  </si>
  <si>
    <t>Optimized Actual %</t>
  </si>
  <si>
    <t>Industry Avg</t>
  </si>
  <si>
    <t>Optimized Gross Margin $</t>
  </si>
  <si>
    <t>Optimized Cost to Fill</t>
  </si>
  <si>
    <t>Tank Sizes &gt;&gt;</t>
  </si>
  <si>
    <t>Full Fill Minutes (@65GPM) &gt;&gt;&gt;</t>
  </si>
  <si>
    <t>Industry Avg.</t>
  </si>
  <si>
    <t>Optimized Target</t>
  </si>
  <si>
    <t>Guess Average Gallon Fill</t>
  </si>
  <si>
    <t>Guess Estimated %</t>
  </si>
  <si>
    <t>Delivery Gross Profit $</t>
  </si>
  <si>
    <t>Previous Average Gallon Fill</t>
  </si>
  <si>
    <t>Previous Gross Margin $</t>
  </si>
  <si>
    <t>Previous Delivery Gross Profit $</t>
  </si>
  <si>
    <t>Delivery GROSS PROFIT GAIN $</t>
  </si>
  <si>
    <t>GROSS PROFIT GAIN %</t>
  </si>
  <si>
    <t>Fuel/Gallon</t>
  </si>
  <si>
    <t>Miles/Day</t>
  </si>
  <si>
    <t>Vehicles Fueled</t>
  </si>
  <si>
    <t>Total Gals</t>
  </si>
  <si>
    <t>Margin $</t>
  </si>
  <si>
    <t>GM/Hr</t>
  </si>
  <si>
    <t>GP</t>
  </si>
  <si>
    <t>Truck Fixed/Hour</t>
  </si>
  <si>
    <t>Truck Variable/Hour</t>
  </si>
  <si>
    <t>Driver/Hour</t>
  </si>
  <si>
    <t>Truck &amp; Driver/Hour</t>
  </si>
  <si>
    <t>Avg Gallons Per Vehicle</t>
  </si>
  <si>
    <t>Direct Cost/Delivery</t>
  </si>
  <si>
    <t>GPM</t>
  </si>
  <si>
    <t>Site Set Up/Down</t>
  </si>
  <si>
    <t>Minutes/Vehicle Pump</t>
  </si>
  <si>
    <t>Minutes Per Vehicle</t>
  </si>
  <si>
    <t>Minutes Fueling</t>
  </si>
  <si>
    <t>Minutes Setup &amp; Down</t>
  </si>
  <si>
    <t>Total Site Time</t>
  </si>
  <si>
    <t>Stop 1</t>
  </si>
  <si>
    <t>Stop 2</t>
  </si>
  <si>
    <t>Stop 3</t>
  </si>
  <si>
    <t>Stop 4</t>
  </si>
  <si>
    <t>Hours per Stop</t>
  </si>
  <si>
    <t>Stem Time to Stop</t>
  </si>
  <si>
    <t>Ttime/Stop</t>
  </si>
  <si>
    <t>Time - Fueling (hrs)</t>
  </si>
  <si>
    <t>Time - Stem (hrs)</t>
  </si>
  <si>
    <t>Ttime (hrs)</t>
  </si>
  <si>
    <t>Shift Totals</t>
  </si>
  <si>
    <t>Planned</t>
  </si>
  <si>
    <t>Variance</t>
  </si>
  <si>
    <t>Miles to Stop</t>
  </si>
  <si>
    <t>Too High</t>
  </si>
  <si>
    <t>Too Low</t>
  </si>
  <si>
    <t>Stem Minutes/Vehicle</t>
  </si>
  <si>
    <t>Shift Analysis</t>
  </si>
  <si>
    <t>ATG Generated orders</t>
  </si>
  <si>
    <t xml:space="preserve">System Tools </t>
  </si>
  <si>
    <t>Route Efficiency - GEO</t>
  </si>
  <si>
    <t>Delivery Timing GEO</t>
  </si>
  <si>
    <t>Transaction</t>
  </si>
  <si>
    <t>Front End</t>
  </si>
  <si>
    <t>Execution</t>
  </si>
  <si>
    <t>Back End</t>
  </si>
  <si>
    <t>Timing</t>
  </si>
  <si>
    <t>Errors</t>
  </si>
  <si>
    <t>Delivery</t>
  </si>
  <si>
    <t>driver</t>
  </si>
  <si>
    <t>Stem Time</t>
  </si>
  <si>
    <t>Miles</t>
  </si>
  <si>
    <t>Cost/Mile</t>
  </si>
  <si>
    <t>Delivery Efficiency</t>
  </si>
  <si>
    <t>Route Optimization Factors</t>
  </si>
  <si>
    <t>Truck</t>
  </si>
  <si>
    <t>Driver</t>
  </si>
  <si>
    <t>Incremental per mile</t>
  </si>
  <si>
    <t>Tank LDE</t>
  </si>
  <si>
    <t>ATG</t>
  </si>
  <si>
    <t>Mainteneacne</t>
  </si>
  <si>
    <t>Moving locations</t>
  </si>
  <si>
    <t>Dispatching</t>
  </si>
  <si>
    <t>Supervising</t>
  </si>
  <si>
    <t>Product Cost</t>
  </si>
  <si>
    <t>Overhead</t>
  </si>
  <si>
    <t>Best Buy</t>
  </si>
  <si>
    <t>Inventory Cost</t>
  </si>
  <si>
    <t>Price Volatility</t>
  </si>
  <si>
    <t>Pricing Rules</t>
  </si>
  <si>
    <t>Fixed Cost</t>
  </si>
  <si>
    <t>Loss Prevention</t>
  </si>
  <si>
    <t>Compliance &amp; Insurance</t>
  </si>
  <si>
    <t>Efficiency</t>
  </si>
  <si>
    <t>Effectiveness</t>
  </si>
  <si>
    <t>Asset Utilization</t>
  </si>
  <si>
    <t>Optimization</t>
  </si>
  <si>
    <t>Right Time Sequencing</t>
  </si>
  <si>
    <t>Customer Service</t>
  </si>
  <si>
    <t>Meeting Timeliness</t>
  </si>
  <si>
    <t>Costs of Doing Business</t>
  </si>
  <si>
    <t>Load Balancing</t>
  </si>
  <si>
    <t>Scheduling</t>
  </si>
  <si>
    <t>Meeting Demands</t>
  </si>
  <si>
    <t>Corporate Overhead</t>
  </si>
  <si>
    <t>Fixed Costs</t>
  </si>
  <si>
    <t>Amortized over gallons</t>
  </si>
  <si>
    <t>Volume/Truck</t>
  </si>
  <si>
    <t># Trucks</t>
  </si>
  <si>
    <t># Deliveries</t>
  </si>
  <si>
    <t>Smallest</t>
  </si>
  <si>
    <t>Largest</t>
  </si>
  <si>
    <t>Average</t>
  </si>
  <si>
    <t>Hours per Shift</t>
  </si>
  <si>
    <t>Avg Stem Time</t>
  </si>
  <si>
    <t>Avg Terminal Turn Time</t>
  </si>
  <si>
    <t>Avg Delivery Time</t>
  </si>
  <si>
    <t>Total All Gallons</t>
  </si>
  <si>
    <t>Truck Capacity (10 Hours)</t>
  </si>
  <si>
    <t>Avg $/Gal Margin</t>
  </si>
  <si>
    <t>$ per Hour Margin</t>
  </si>
  <si>
    <t>Area</t>
  </si>
  <si>
    <t>Cost of A/R</t>
  </si>
  <si>
    <t>When to GO!</t>
  </si>
  <si>
    <t>Manage Driver Behavior</t>
  </si>
  <si>
    <t>Truck Costs</t>
  </si>
  <si>
    <t>Driver Costs</t>
  </si>
  <si>
    <t>Stem Times</t>
  </si>
  <si>
    <t>Driver DOT Time</t>
  </si>
  <si>
    <t>Tank LDE Costs</t>
  </si>
  <si>
    <t>Amortization</t>
  </si>
  <si>
    <t>Training, Compliance &amp; Insurance</t>
  </si>
  <si>
    <t>Per Truck</t>
  </si>
  <si>
    <t>Per Driver</t>
  </si>
  <si>
    <t>Dispatch BOLs</t>
  </si>
  <si>
    <t>Inventory Controls</t>
  </si>
  <si>
    <t>Theft</t>
  </si>
  <si>
    <t>Manage Best Buy</t>
  </si>
  <si>
    <t>Carry Cost</t>
  </si>
  <si>
    <t>Communications &amp; Collaboration</t>
  </si>
  <si>
    <t>Efficiency Planning</t>
  </si>
  <si>
    <t>Dispatch Effectiveness</t>
  </si>
  <si>
    <t>Asset Utilization Focus</t>
  </si>
  <si>
    <t>Optimization Scenarios</t>
  </si>
  <si>
    <t>Paperwork Checks</t>
  </si>
  <si>
    <t>Allocations</t>
  </si>
  <si>
    <t>Training</t>
  </si>
  <si>
    <t>Compliance</t>
  </si>
  <si>
    <t>KVIP</t>
  </si>
  <si>
    <t>Per Shift</t>
  </si>
  <si>
    <t>Per Gal</t>
  </si>
  <si>
    <t>Work Days</t>
  </si>
  <si>
    <t>Cost per Day</t>
  </si>
  <si>
    <t>Truck per Day</t>
  </si>
  <si>
    <t>Driver per Hour</t>
  </si>
  <si>
    <t xml:space="preserve">Tank </t>
  </si>
  <si>
    <t>5 years</t>
  </si>
  <si>
    <t>Maintenance</t>
  </si>
  <si>
    <t>per Gallon</t>
  </si>
  <si>
    <t>Average Size</t>
  </si>
  <si>
    <t>Monthly Gallons</t>
  </si>
  <si>
    <t>Monthly Turn</t>
  </si>
  <si>
    <t>Total Annual Cost</t>
  </si>
  <si>
    <t>N/A</t>
  </si>
  <si>
    <t>Cost per Transaction</t>
  </si>
  <si>
    <t># Transactions Capable</t>
  </si>
  <si>
    <t>Dispatcher Capacity</t>
  </si>
  <si>
    <t>Inventory Costs</t>
  </si>
  <si>
    <t>Liability</t>
  </si>
  <si>
    <t>Annual per Truck</t>
  </si>
  <si>
    <t>Take Order</t>
  </si>
  <si>
    <t>Process Order</t>
  </si>
  <si>
    <t>Execute Order -Track</t>
  </si>
  <si>
    <t>Reconcile Order Paper</t>
  </si>
  <si>
    <t>Post Billing</t>
  </si>
  <si>
    <t>Collect Money O/I</t>
  </si>
  <si>
    <t>Efficiency Case</t>
  </si>
  <si>
    <t>Avg Gals per Delivery</t>
  </si>
  <si>
    <t>Tanks</t>
  </si>
  <si>
    <t>Fuel Tax</t>
  </si>
  <si>
    <t>Driver Counseling</t>
  </si>
  <si>
    <t>Business Rule Sets</t>
  </si>
  <si>
    <t>Manual</t>
  </si>
  <si>
    <t>Automated</t>
  </si>
  <si>
    <t>DSO Improvement</t>
  </si>
  <si>
    <t>Gals per Transaction</t>
  </si>
  <si>
    <t>Savings per Transaction</t>
  </si>
  <si>
    <t>Annual Interest Rate</t>
  </si>
  <si>
    <t>Daily Interest Rate</t>
  </si>
  <si>
    <t>Savings per Gallon</t>
  </si>
  <si>
    <t>Tax "Pump Time" Savings</t>
  </si>
  <si>
    <t>Fleet Fueling Transactions</t>
  </si>
  <si>
    <t>Transport Transactions</t>
  </si>
  <si>
    <t>Load Capacity per Shift</t>
  </si>
  <si>
    <t>Dispatch Efficiency</t>
  </si>
  <si>
    <t>JIT Inventory Mgmt</t>
  </si>
  <si>
    <t>Delivery Confirmation</t>
  </si>
  <si>
    <t>Order Mgmt</t>
  </si>
  <si>
    <t>BOL Capture</t>
  </si>
  <si>
    <t>DSO</t>
  </si>
  <si>
    <t>Automated Dispatch</t>
  </si>
  <si>
    <t>Labor Savings</t>
  </si>
  <si>
    <t>Track $/Hr Margin</t>
  </si>
  <si>
    <t>Delivery Time /Vehicle</t>
  </si>
  <si>
    <t>Billing Accuracy</t>
  </si>
  <si>
    <t>Cross Fueling</t>
  </si>
  <si>
    <t>Information as Product</t>
  </si>
  <si>
    <t>Web Billing</t>
  </si>
  <si>
    <t>Transaction Cost Savings</t>
  </si>
  <si>
    <t>Consolidation</t>
  </si>
  <si>
    <t>Plan/Dispatch Order</t>
  </si>
  <si>
    <t>Avg Hourly Rate</t>
  </si>
  <si>
    <t>Transaction Costs</t>
  </si>
  <si>
    <t>Reconcile Loading Paper</t>
  </si>
  <si>
    <t>End of Shift  Review</t>
  </si>
  <si>
    <t>Collate Billing/Loading Docs</t>
  </si>
  <si>
    <t>GPS Tracking</t>
  </si>
  <si>
    <t>Centralize Dispatch</t>
  </si>
  <si>
    <t>Change Model</t>
  </si>
  <si>
    <t>Six Sigma - Quality</t>
  </si>
  <si>
    <t>Total Organization Time</t>
  </si>
  <si>
    <t>PLUS Error Reduction</t>
  </si>
  <si>
    <t>Plus Inventory Control System</t>
  </si>
  <si>
    <t>Plus Driver &amp; Customer Mindset</t>
  </si>
  <si>
    <t>DSO Baseline</t>
  </si>
  <si>
    <t>DSO Gain can be greater due to A/R Collections Excuse Cards minimized via Transaction Validation Tools @ P.O.D.</t>
  </si>
  <si>
    <t>Take Total Dollars and Divide by # Gallons</t>
  </si>
  <si>
    <t>Not Included in Costs - Key Poinits Only</t>
  </si>
  <si>
    <t>Compliance &amp; Reporting</t>
  </si>
  <si>
    <t>IFTA Reporting</t>
  </si>
  <si>
    <t>OFF Road Use Tax Refunds</t>
  </si>
  <si>
    <t>%IDLE Time</t>
  </si>
  <si>
    <t>DVIR</t>
  </si>
  <si>
    <t>Driver Logs</t>
  </si>
  <si>
    <t>End of Shift Reconciliation</t>
  </si>
  <si>
    <t>Billing Disputes</t>
  </si>
  <si>
    <t>Sales Driven Transactions</t>
  </si>
  <si>
    <t>Fleet Assets</t>
  </si>
  <si>
    <t>Railroad, Etc.</t>
  </si>
  <si>
    <t>Need Resources doing more Analysis and Tracking to High Grade their jobs, ie. Less paper shuffling in manual world with Automation, and then more focus on Analysis to recover the dollars being lost, or opportunities missed.  Very few have a handle on Transaction Cost (OME) and therefore don't know where to focus to minimize waste or manual processes.  Need real BI to cause analysis and actions to improve EBITDA</t>
  </si>
  <si>
    <t>Track Real Costs</t>
  </si>
  <si>
    <r>
      <t>#</t>
    </r>
    <r>
      <rPr>
        <sz val="10"/>
        <rFont val="Arial"/>
        <family val="2"/>
      </rPr>
      <t xml:space="preserve">Drivers </t>
    </r>
    <r>
      <rPr>
        <sz val="14"/>
        <rFont val="Arial"/>
        <family val="2"/>
      </rPr>
      <t xml:space="preserve">              /Dispatch</t>
    </r>
  </si>
  <si>
    <r>
      <t>#</t>
    </r>
    <r>
      <rPr>
        <sz val="10"/>
        <rFont val="Arial"/>
        <family val="2"/>
      </rPr>
      <t xml:space="preserve">Orders </t>
    </r>
    <r>
      <rPr>
        <sz val="14"/>
        <rFont val="Arial"/>
        <family val="2"/>
      </rPr>
      <t xml:space="preserve">              /Dispatch</t>
    </r>
  </si>
  <si>
    <t>How Does the Truck PUMP impact Gross Margin  Dollars per Hour ?</t>
  </si>
  <si>
    <t>What are the Targets to Optimize GM$ per Hour?</t>
  </si>
  <si>
    <t>ROI Notes</t>
  </si>
  <si>
    <t xml:space="preserve">•Logistics users face many obstacles trying to understand and optimize Operations </t>
  </si>
  <si>
    <t xml:space="preserve">–Information scattered across many applications </t>
  </si>
  <si>
    <t xml:space="preserve">–Information is not immediately actionable </t>
  </si>
  <si>
    <t xml:space="preserve">–Information needs to be formatted into reports </t>
  </si>
  <si>
    <t xml:space="preserve">•Processes are re-designed on the back of the Improved Information and Enabled Communications </t>
  </si>
  <si>
    <t xml:space="preserve">•Digital Transaction Capture – Fleet Fueling </t>
  </si>
  <si>
    <t xml:space="preserve">•Reduce Billing Cycle </t>
  </si>
  <si>
    <t xml:space="preserve">•Track Driver Behavior &amp; Compensation </t>
  </si>
  <si>
    <t xml:space="preserve">•Optimize Routing &amp; Forecasting </t>
  </si>
  <si>
    <t xml:space="preserve">•Reduce Costs </t>
  </si>
  <si>
    <t xml:space="preserve">•New Markets &amp; Capacity </t>
  </si>
  <si>
    <t xml:space="preserve">•Efficiency – I am 100% Efficient </t>
  </si>
  <si>
    <t xml:space="preserve">•Effectiveness – I generate a 30% ROCE </t>
  </si>
  <si>
    <t xml:space="preserve">•Six Sigma – Measure, Implement, Control </t>
  </si>
  <si>
    <t xml:space="preserve">•Must Choose a Target </t>
  </si>
  <si>
    <r>
      <t xml:space="preserve">•BI Applications must do more than simply spit out raw data…these measurements must be put into business context to produce Scorecards that quickly indicate where action is required. </t>
    </r>
    <r>
      <rPr>
        <sz val="12"/>
        <rFont val="Arial"/>
        <family val="2"/>
      </rPr>
      <t xml:space="preserve">Platform EstablishedEnables or lowers cost of operationsSolutions Implementation for Efficiencies Analysis &amp; Targets </t>
    </r>
  </si>
  <si>
    <r>
      <t>“Need a Benchmark</t>
    </r>
    <r>
      <rPr>
        <sz val="12"/>
        <rFont val="Arial"/>
        <family val="2"/>
      </rPr>
      <t xml:space="preserve"> </t>
    </r>
  </si>
  <si>
    <r>
      <t>•Common Denominator</t>
    </r>
    <r>
      <rPr>
        <b/>
        <sz val="12"/>
        <rFont val="Arial"/>
        <family val="2"/>
      </rPr>
      <t xml:space="preserve">Margin/Hour </t>
    </r>
  </si>
  <si>
    <r>
      <t>•</t>
    </r>
    <r>
      <rPr>
        <b/>
        <sz val="12"/>
        <rFont val="Arial"/>
        <family val="2"/>
      </rPr>
      <t>Cost/Hour</t>
    </r>
    <r>
      <rPr>
        <sz val="12"/>
        <rFont val="Arial"/>
        <family val="2"/>
      </rPr>
      <t xml:space="preserve"> </t>
    </r>
  </si>
  <si>
    <r>
      <t xml:space="preserve">Consistent Measurement to Benchmark </t>
    </r>
    <r>
      <rPr>
        <sz val="12"/>
        <rFont val="Arial"/>
        <family val="2"/>
      </rPr>
      <t>Digital Model Targets</t>
    </r>
  </si>
  <si>
    <t>Routing - Visibility of Route/Orders before Dispatching</t>
  </si>
  <si>
    <r>
      <t xml:space="preserve">–Information requires analysis before useful </t>
    </r>
    <r>
      <rPr>
        <b/>
        <sz val="12"/>
        <rFont val="Arial"/>
        <family val="2"/>
      </rPr>
      <t>Data Mining</t>
    </r>
  </si>
  <si>
    <t xml:space="preserve">Supporting Differing Business Needs  </t>
  </si>
  <si>
    <r>
      <t xml:space="preserve">Business Process Re-Invention to Targets New Approaches New Business Models emerge that could not exist without embedded mobile tools and technologies Business Model Innovation </t>
    </r>
    <r>
      <rPr>
        <sz val="12"/>
        <rFont val="Arial"/>
        <family val="2"/>
      </rPr>
      <t>Tap the Business Intelligence from Business Operations</t>
    </r>
    <r>
      <rPr>
        <sz val="12"/>
        <rFont val="Arial"/>
        <family val="2"/>
      </rPr>
      <t xml:space="preserve"> </t>
    </r>
  </si>
  <si>
    <t>Given:  Number of Combinations/Permutations for say 5 - 15 trucks with 10 deliveries each.  No one has the ability to Dispatch in an optimal fashion, need automations.</t>
  </si>
  <si>
    <t>Size of Delivery - can you make another 100 gallons at &gt;18 cents per gallon …by better managing Orders and "When to Go"?  Absolutely, Generally TW Overservices Tanks.</t>
  </si>
  <si>
    <t>What are the Targets?</t>
  </si>
  <si>
    <t>How many cents per Gallon I am getting?</t>
  </si>
  <si>
    <t xml:space="preserve">$ Cost Truck &amp; Driver per Mile Driven </t>
  </si>
  <si>
    <t>Answer:</t>
  </si>
  <si>
    <t>Gross Margin per Hour</t>
  </si>
  <si>
    <t>Total Cost per Hour</t>
  </si>
  <si>
    <t>Cost to Process a Transaction</t>
  </si>
  <si>
    <t>What Variables do we Control or can Influence?</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</si>
</sst>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_(&quot;$&quot;* #,##0_);_(&quot;$&quot;* \(#,##0\);_(&quot;$&quot;* &quot;-&quot;??_);_(@_)"/>
    <numFmt numFmtId="171" formatCode="&quot;$&quot;#,##0"/>
    <numFmt numFmtId="172" formatCode="&quot;$&quot;#,##0.00"/>
    <numFmt numFmtId="173" formatCode="_(* #,##0.0_);_(* \(#,##0.0\);_(* &quot;-&quot;?_);_(@_)"/>
    <numFmt numFmtId="174" formatCode="0.0%"/>
    <numFmt numFmtId="175" formatCode="0_);\(0\)"/>
    <numFmt numFmtId="176" formatCode="_(&quot;$&quot;* #,##0.000_);_(&quot;$&quot;* \(#,##0.000\);_(&quot;$&quot;* &quot;-&quot;????_);_(@_)"/>
    <numFmt numFmtId="177" formatCode="_(&quot;$&quot;* #,##0.0000_);_(&quot;$&quot;* \(#,##0.0000\);_(&quot;$&quot;* &quot;-&quot;????_);_(@_)"/>
    <numFmt numFmtId="178" formatCode="#,##0.0_);\(#,##0.0\)"/>
    <numFmt numFmtId="179" formatCode="&quot;$&quot;#,##0.0"/>
    <numFmt numFmtId="180" formatCode="_(&quot;$&quot;* #,##0.0_);_(&quot;$&quot;* \(#,##0.0\);_(&quot;$&quot;* &quot;-&quot;??_);_(@_)"/>
    <numFmt numFmtId="181" formatCode="_(&quot;$&quot;* #,##0.000_);_(&quot;$&quot;* \(#,##0.000\);_(&quot;$&quot;* &quot;-&quot;??_);_(@_)"/>
    <numFmt numFmtId="182" formatCode="_(&quot;$&quot;* #,##0.0000_);_(&quot;$&quot;* \(#,##0.0000\);_(&quot;$&quot;* &quot;-&quot;??_);_(@_)"/>
    <numFmt numFmtId="183" formatCode="_(* #,##0.000_);_(* \(#,##0.000\);_(* &quot;-&quot;???_);_(@_)"/>
    <numFmt numFmtId="184" formatCode="0.00000"/>
    <numFmt numFmtId="185" formatCode="0.0000"/>
    <numFmt numFmtId="186" formatCode="0.000"/>
    <numFmt numFmtId="187" formatCode="0.0"/>
    <numFmt numFmtId="188" formatCode="_(* #,##0.000_);_(* \(#,##0.000\);_(* &quot;-&quot;??_);_(@_)"/>
    <numFmt numFmtId="189" formatCode="0.0000000"/>
    <numFmt numFmtId="190" formatCode="0.000000"/>
    <numFmt numFmtId="191" formatCode="0.000%"/>
    <numFmt numFmtId="192" formatCode="_(&quot;$&quot;* #,##0.000_);_(&quot;$&quot;* \(#,##0.000\);_(&quot;$&quot;* &quot;-&quot;???_);_(@_)"/>
  </numFmts>
  <fonts count="149">
    <font>
      <sz val="10"/>
      <name val="Arial"/>
      <family val="0"/>
    </font>
    <font>
      <b/>
      <sz val="20"/>
      <color indexed="53"/>
      <name val="Arial"/>
      <family val="2"/>
    </font>
    <font>
      <sz val="18"/>
      <name val="Arial"/>
      <family val="2"/>
    </font>
    <font>
      <sz val="14"/>
      <name val="Arial"/>
      <family val="2"/>
    </font>
    <font>
      <sz val="8"/>
      <name val="Arial"/>
      <family val="2"/>
    </font>
    <font>
      <sz val="12"/>
      <name val="Arial"/>
      <family val="2"/>
    </font>
    <font>
      <u val="single"/>
      <sz val="10"/>
      <color indexed="12"/>
      <name val="Arial"/>
      <family val="2"/>
    </font>
    <font>
      <u val="single"/>
      <sz val="10"/>
      <color indexed="36"/>
      <name val="Arial"/>
      <family val="2"/>
    </font>
    <font>
      <b/>
      <sz val="12"/>
      <name val="Arial"/>
      <family val="2"/>
    </font>
    <font>
      <b/>
      <sz val="14"/>
      <color indexed="10"/>
      <name val="Arial"/>
      <family val="2"/>
    </font>
    <font>
      <b/>
      <u val="single"/>
      <sz val="10"/>
      <name val="Arial"/>
      <family val="2"/>
    </font>
    <font>
      <b/>
      <sz val="12"/>
      <color indexed="12"/>
      <name val="Arial"/>
      <family val="2"/>
    </font>
    <font>
      <sz val="10"/>
      <color indexed="12"/>
      <name val="Arial"/>
      <family val="2"/>
    </font>
    <font>
      <b/>
      <sz val="12"/>
      <color indexed="53"/>
      <name val="Arial"/>
      <family val="2"/>
    </font>
    <font>
      <sz val="10"/>
      <color indexed="53"/>
      <name val="Arial"/>
      <family val="2"/>
    </font>
    <font>
      <b/>
      <sz val="12"/>
      <color indexed="50"/>
      <name val="Arial"/>
      <family val="2"/>
    </font>
    <font>
      <sz val="10"/>
      <color indexed="50"/>
      <name val="Arial"/>
      <family val="2"/>
    </font>
    <font>
      <b/>
      <sz val="10"/>
      <name val="Arial"/>
      <family val="2"/>
    </font>
    <font>
      <b/>
      <sz val="16"/>
      <color indexed="53"/>
      <name val="Arial"/>
      <family val="2"/>
    </font>
    <font>
      <b/>
      <sz val="14"/>
      <color indexed="53"/>
      <name val="Arial"/>
      <family val="2"/>
    </font>
    <font>
      <sz val="14"/>
      <color indexed="53"/>
      <name val="Arial"/>
      <family val="2"/>
    </font>
    <font>
      <sz val="14"/>
      <color indexed="10"/>
      <name val="Arial"/>
      <family val="2"/>
    </font>
    <font>
      <i/>
      <sz val="12"/>
      <name val="Arial"/>
      <family val="2"/>
    </font>
    <font>
      <b/>
      <i/>
      <sz val="12"/>
      <name val="Arial"/>
      <family val="2"/>
    </font>
    <font>
      <b/>
      <u val="single"/>
      <sz val="12"/>
      <color indexed="10"/>
      <name val="Arial"/>
      <family val="2"/>
    </font>
    <font>
      <b/>
      <sz val="12"/>
      <color indexed="10"/>
      <name val="Tahoma"/>
      <family val="2"/>
    </font>
    <font>
      <sz val="10"/>
      <name val="Tahoma"/>
      <family val="2"/>
    </font>
    <font>
      <b/>
      <sz val="10"/>
      <name val="Tahoma"/>
      <family val="2"/>
    </font>
    <font>
      <b/>
      <sz val="10"/>
      <color indexed="51"/>
      <name val="Tahoma"/>
      <family val="2"/>
    </font>
    <font>
      <i/>
      <sz val="10"/>
      <name val="Arial"/>
      <family val="2"/>
    </font>
    <font>
      <b/>
      <u val="single"/>
      <sz val="12"/>
      <name val="Arial"/>
      <family val="2"/>
    </font>
    <font>
      <u val="single"/>
      <sz val="12"/>
      <name val="Arial"/>
      <family val="2"/>
    </font>
    <font>
      <b/>
      <i/>
      <sz val="10"/>
      <name val="Arial"/>
      <family val="2"/>
    </font>
    <font>
      <u val="single"/>
      <sz val="10"/>
      <name val="Arial"/>
      <family val="2"/>
    </font>
    <font>
      <u val="single"/>
      <sz val="12"/>
      <color indexed="10"/>
      <name val="Arial"/>
      <family val="2"/>
    </font>
    <font>
      <b/>
      <sz val="10"/>
      <color indexed="10"/>
      <name val="Tahoma"/>
      <family val="2"/>
    </font>
    <font>
      <sz val="10"/>
      <color indexed="10"/>
      <name val="Tahoma"/>
      <family val="2"/>
    </font>
    <font>
      <u val="single"/>
      <sz val="10"/>
      <color indexed="10"/>
      <name val="Tahoma"/>
      <family val="2"/>
    </font>
    <font>
      <u val="singleAccounting"/>
      <sz val="12"/>
      <name val="Arial"/>
      <family val="2"/>
    </font>
    <font>
      <b/>
      <sz val="12"/>
      <color indexed="10"/>
      <name val="Arial"/>
      <family val="2"/>
    </font>
    <font>
      <b/>
      <sz val="8"/>
      <color indexed="10"/>
      <name val="Arial"/>
      <family val="2"/>
    </font>
    <font>
      <b/>
      <sz val="8"/>
      <color indexed="12"/>
      <name val="Arial"/>
      <family val="2"/>
    </font>
    <font>
      <b/>
      <sz val="8"/>
      <name val="Arial"/>
      <family val="2"/>
    </font>
    <font>
      <b/>
      <sz val="10"/>
      <color indexed="10"/>
      <name val="Arial"/>
      <family val="2"/>
    </font>
    <font>
      <sz val="8"/>
      <name val="Tahoma"/>
      <family val="2"/>
    </font>
    <font>
      <b/>
      <sz val="8"/>
      <color indexed="10"/>
      <name val="Tahoma"/>
      <family val="2"/>
    </font>
    <font>
      <b/>
      <i/>
      <sz val="14"/>
      <color indexed="10"/>
      <name val="Arial"/>
      <family val="2"/>
    </font>
    <font>
      <b/>
      <i/>
      <sz val="12"/>
      <color indexed="10"/>
      <name val="Arial"/>
      <family val="2"/>
    </font>
    <font>
      <b/>
      <i/>
      <u val="single"/>
      <sz val="10"/>
      <name val="Arial"/>
      <family val="2"/>
    </font>
    <font>
      <b/>
      <i/>
      <u val="single"/>
      <sz val="10"/>
      <color indexed="10"/>
      <name val="Arial"/>
      <family val="2"/>
    </font>
    <font>
      <b/>
      <sz val="11"/>
      <name val="Arial"/>
      <family val="2"/>
    </font>
    <font>
      <b/>
      <i/>
      <u val="single"/>
      <sz val="14"/>
      <color indexed="10"/>
      <name val="Arial"/>
      <family val="2"/>
    </font>
    <font>
      <b/>
      <u val="singleAccounting"/>
      <sz val="12"/>
      <name val="Arial"/>
      <family val="2"/>
    </font>
    <font>
      <b/>
      <u val="singleAccounting"/>
      <sz val="12"/>
      <color indexed="10"/>
      <name val="Arial"/>
      <family val="2"/>
    </font>
    <font>
      <b/>
      <sz val="11"/>
      <color indexed="12"/>
      <name val="Arial"/>
      <family val="2"/>
    </font>
    <font>
      <b/>
      <u val="singleAccounting"/>
      <sz val="12"/>
      <color indexed="12"/>
      <name val="Arial"/>
      <family val="2"/>
    </font>
    <font>
      <b/>
      <i/>
      <u val="single"/>
      <sz val="12"/>
      <color indexed="10"/>
      <name val="Arial"/>
      <family val="2"/>
    </font>
    <font>
      <b/>
      <u val="singleAccounting"/>
      <sz val="10"/>
      <name val="Arial"/>
      <family val="2"/>
    </font>
    <font>
      <sz val="8"/>
      <color indexed="51"/>
      <name val="Tahoma"/>
      <family val="2"/>
    </font>
    <font>
      <b/>
      <u val="single"/>
      <sz val="8"/>
      <name val="Tahoma"/>
      <family val="2"/>
    </font>
    <font>
      <b/>
      <sz val="8"/>
      <color indexed="51"/>
      <name val="Tahoma"/>
      <family val="2"/>
    </font>
    <font>
      <b/>
      <sz val="12"/>
      <color indexed="18"/>
      <name val="Arial"/>
      <family val="2"/>
    </font>
    <font>
      <b/>
      <sz val="12"/>
      <color indexed="60"/>
      <name val="Arial"/>
      <family val="2"/>
    </font>
    <font>
      <b/>
      <u val="single"/>
      <sz val="12"/>
      <color indexed="60"/>
      <name val="Arial"/>
      <family val="2"/>
    </font>
    <font>
      <sz val="12"/>
      <color indexed="18"/>
      <name val="Arial"/>
      <family val="2"/>
    </font>
    <font>
      <b/>
      <sz val="10"/>
      <color indexed="53"/>
      <name val="Arial"/>
      <family val="2"/>
    </font>
    <font>
      <b/>
      <sz val="11"/>
      <color indexed="53"/>
      <name val="Arial"/>
      <family val="2"/>
    </font>
    <font>
      <b/>
      <sz val="10"/>
      <color indexed="18"/>
      <name val="Arial"/>
      <family val="2"/>
    </font>
    <font>
      <b/>
      <i/>
      <sz val="16"/>
      <color indexed="18"/>
      <name val="Arial"/>
      <family val="2"/>
    </font>
    <font>
      <sz val="18"/>
      <color indexed="10"/>
      <name val="Arial"/>
      <family val="2"/>
    </font>
    <font>
      <sz val="12"/>
      <color indexed="10"/>
      <name val="Arial"/>
      <family val="2"/>
    </font>
    <font>
      <b/>
      <sz val="12"/>
      <color indexed="9"/>
      <name val="Arial"/>
      <family val="2"/>
    </font>
    <font>
      <sz val="10"/>
      <color indexed="9"/>
      <name val="Arial"/>
      <family val="2"/>
    </font>
    <font>
      <sz val="12"/>
      <color indexed="9"/>
      <name val="Arial"/>
      <family val="2"/>
    </font>
    <font>
      <b/>
      <u val="single"/>
      <sz val="12"/>
      <color indexed="9"/>
      <name val="Arial"/>
      <family val="2"/>
    </font>
    <font>
      <sz val="8"/>
      <color indexed="9"/>
      <name val="Arial"/>
      <family val="2"/>
    </font>
    <font>
      <b/>
      <i/>
      <sz val="12"/>
      <color indexed="9"/>
      <name val="Arial"/>
      <family val="2"/>
    </font>
    <font>
      <b/>
      <sz val="10"/>
      <color indexed="9"/>
      <name val="Arial"/>
      <family val="2"/>
    </font>
    <font>
      <b/>
      <sz val="8"/>
      <color indexed="9"/>
      <name val="Arial"/>
      <family val="2"/>
    </font>
    <font>
      <i/>
      <sz val="16"/>
      <color indexed="9"/>
      <name val="Arial"/>
      <family val="2"/>
    </font>
    <font>
      <i/>
      <sz val="12"/>
      <color indexed="13"/>
      <name val="Arial"/>
      <family val="2"/>
    </font>
    <font>
      <b/>
      <i/>
      <sz val="12"/>
      <color indexed="13"/>
      <name val="Arial"/>
      <family val="2"/>
    </font>
    <font>
      <sz val="12"/>
      <color indexed="13"/>
      <name val="Arial"/>
      <family val="2"/>
    </font>
    <font>
      <b/>
      <sz val="12"/>
      <color indexed="13"/>
      <name val="Arial"/>
      <family val="2"/>
    </font>
    <font>
      <sz val="8"/>
      <color indexed="10"/>
      <name val="Arial"/>
      <family val="2"/>
    </font>
    <font>
      <b/>
      <sz val="16"/>
      <name val="Arial"/>
      <family val="2"/>
    </font>
    <font>
      <b/>
      <i/>
      <sz val="12"/>
      <color indexed="53"/>
      <name val="Arial"/>
      <family val="2"/>
    </font>
    <font>
      <sz val="14"/>
      <name val="Times New Roman"/>
      <family val="1"/>
    </font>
    <font>
      <sz val="24"/>
      <name val="Arial"/>
      <family val="2"/>
    </font>
    <font>
      <b/>
      <sz val="14"/>
      <color indexed="50"/>
      <name val="Arial"/>
      <family val="2"/>
    </font>
    <font>
      <b/>
      <sz val="14"/>
      <name val="Arial"/>
      <family val="2"/>
    </font>
    <font>
      <i/>
      <sz val="14"/>
      <name val="Arial"/>
      <family val="2"/>
    </font>
    <font>
      <sz val="16"/>
      <name val="Arial"/>
      <family val="2"/>
    </font>
    <font>
      <b/>
      <i/>
      <sz val="20"/>
      <color indexed="52"/>
      <name val="Arial"/>
      <family val="2"/>
    </font>
    <font>
      <b/>
      <i/>
      <sz val="20"/>
      <color indexed="23"/>
      <name val="Arial"/>
      <family val="2"/>
    </font>
    <font>
      <b/>
      <i/>
      <u val="singleAccounting"/>
      <sz val="14"/>
      <color indexed="10"/>
      <name val="Arial"/>
      <family val="2"/>
    </font>
    <font>
      <sz val="10"/>
      <color indexed="18"/>
      <name val="Arial"/>
      <family val="2"/>
    </font>
    <font>
      <b/>
      <u val="single"/>
      <sz val="10"/>
      <color indexed="18"/>
      <name val="Arial"/>
      <family val="2"/>
    </font>
    <font>
      <b/>
      <sz val="16"/>
      <color indexed="52"/>
      <name val="Arial"/>
      <family val="2"/>
    </font>
    <font>
      <b/>
      <sz val="10"/>
      <color indexed="50"/>
      <name val="Arial"/>
      <family val="2"/>
    </font>
    <font>
      <b/>
      <sz val="16"/>
      <color indexed="50"/>
      <name val="Arial"/>
      <family val="2"/>
    </font>
    <font>
      <sz val="10"/>
      <color indexed="22"/>
      <name val="Arial"/>
      <family val="2"/>
    </font>
    <font>
      <b/>
      <i/>
      <sz val="18"/>
      <color indexed="52"/>
      <name val="Arial"/>
      <family val="2"/>
    </font>
    <font>
      <b/>
      <i/>
      <sz val="18"/>
      <color indexed="23"/>
      <name val="Arial"/>
      <family val="2"/>
    </font>
    <font>
      <sz val="10"/>
      <color indexed="57"/>
      <name val="Arial"/>
      <family val="2"/>
    </font>
    <font>
      <b/>
      <sz val="12"/>
      <color indexed="57"/>
      <name val="Arial"/>
      <family val="2"/>
    </font>
    <font>
      <b/>
      <sz val="10"/>
      <color indexed="57"/>
      <name val="Arial"/>
      <family val="2"/>
    </font>
    <font>
      <b/>
      <sz val="18"/>
      <name val="Arial"/>
      <family val="2"/>
    </font>
    <font>
      <b/>
      <sz val="10"/>
      <color indexed="12"/>
      <name val="Arial"/>
      <family val="2"/>
    </font>
    <font>
      <b/>
      <sz val="14"/>
      <color indexed="12"/>
      <name val="Arial"/>
      <family val="2"/>
    </font>
    <font>
      <b/>
      <i/>
      <u val="single"/>
      <sz val="16"/>
      <name val="Arial"/>
      <family val="2"/>
    </font>
    <font>
      <b/>
      <i/>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sz val="10"/>
      <color theme="3"/>
      <name val="Arial"/>
      <family val="2"/>
    </font>
    <font>
      <b/>
      <sz val="12"/>
      <color rgb="FFFF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50"/>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indexed="55"/>
        <bgColor indexed="64"/>
      </patternFill>
    </fill>
    <fill>
      <patternFill patternType="solid">
        <fgColor indexed="47"/>
        <bgColor indexed="64"/>
      </patternFill>
    </fill>
    <fill>
      <patternFill patternType="solid">
        <fgColor rgb="FF00FF99"/>
        <bgColor indexed="64"/>
      </patternFill>
    </fill>
    <fill>
      <patternFill patternType="solid">
        <fgColor rgb="FFFFFF00"/>
        <bgColor indexed="64"/>
      </patternFill>
    </fill>
    <fill>
      <patternFill patternType="solid">
        <fgColor rgb="FFFFFF66"/>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double"/>
    </border>
    <border>
      <left>
        <color indexed="63"/>
      </left>
      <right style="medium"/>
      <top>
        <color indexed="63"/>
      </top>
      <bottom style="double"/>
    </border>
    <border>
      <left style="medium"/>
      <right style="thin"/>
      <top style="thin"/>
      <bottom style="thin"/>
    </border>
    <border>
      <left style="thin"/>
      <right style="medium"/>
      <top style="thin"/>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color indexed="63"/>
      </botto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style="thin"/>
      <right style="thin"/>
      <top style="thin"/>
      <bottom>
        <color indexed="63"/>
      </bottom>
    </border>
    <border>
      <left>
        <color indexed="63"/>
      </left>
      <right style="medium"/>
      <top style="medium"/>
      <bottom style="medium"/>
    </border>
    <border>
      <left>
        <color indexed="63"/>
      </left>
      <right style="thin"/>
      <top style="thin"/>
      <bottom style="thin"/>
    </border>
    <border>
      <left style="medium"/>
      <right style="medium"/>
      <top style="medium"/>
      <bottom style="thin"/>
    </border>
    <border>
      <left>
        <color indexed="63"/>
      </left>
      <right style="medium"/>
      <top style="thin"/>
      <bottom style="thin"/>
    </border>
    <border>
      <left>
        <color indexed="63"/>
      </left>
      <right style="medium"/>
      <top style="thin"/>
      <bottom style="medium"/>
    </border>
    <border>
      <left style="thin"/>
      <right style="thin"/>
      <top style="thin"/>
      <bottom style="medium"/>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thin"/>
    </border>
    <border>
      <left style="thin"/>
      <right>
        <color indexed="63"/>
      </right>
      <top style="thin"/>
      <bottom style="medium"/>
    </border>
    <border>
      <left>
        <color indexed="63"/>
      </left>
      <right style="thin"/>
      <top style="thin"/>
      <bottom style="medium"/>
    </border>
    <border>
      <left style="medium"/>
      <right style="medium"/>
      <top style="thin"/>
      <bottom style="medium"/>
    </border>
    <border>
      <left style="medium"/>
      <right style="medium"/>
      <top style="thin"/>
      <bottom style="thin"/>
    </border>
    <border>
      <left style="medium"/>
      <right>
        <color indexed="63"/>
      </right>
      <top style="thin"/>
      <bottom style="thin"/>
    </border>
    <border>
      <left style="medium"/>
      <right>
        <color indexed="63"/>
      </right>
      <top style="thin"/>
      <bottom style="medium"/>
    </border>
    <border>
      <left style="thin"/>
      <right style="thin"/>
      <top>
        <color indexed="63"/>
      </top>
      <bottom style="thin"/>
    </border>
    <border>
      <left>
        <color indexed="63"/>
      </left>
      <right>
        <color indexed="63"/>
      </right>
      <top style="thin"/>
      <bottom style="medium"/>
    </border>
    <border>
      <left>
        <color indexed="63"/>
      </left>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color indexed="63"/>
      </top>
      <bottom style="thin"/>
    </border>
    <border>
      <left>
        <color indexed="63"/>
      </left>
      <right style="medium"/>
      <top>
        <color indexed="63"/>
      </top>
      <bottom style="thin"/>
    </border>
    <border>
      <left style="thin"/>
      <right>
        <color indexed="63"/>
      </right>
      <top>
        <color indexed="63"/>
      </top>
      <bottom style="thin"/>
    </border>
    <border>
      <left style="medium"/>
      <right>
        <color indexed="63"/>
      </right>
      <top style="medium"/>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0" fillId="2" borderId="0" applyNumberFormat="0" applyBorder="0" applyAlignment="0" applyProtection="0"/>
    <xf numFmtId="0" fontId="130" fillId="3" borderId="0" applyNumberFormat="0" applyBorder="0" applyAlignment="0" applyProtection="0"/>
    <xf numFmtId="0" fontId="130" fillId="4" borderId="0" applyNumberFormat="0" applyBorder="0" applyAlignment="0" applyProtection="0"/>
    <xf numFmtId="0" fontId="130" fillId="5" borderId="0" applyNumberFormat="0" applyBorder="0" applyAlignment="0" applyProtection="0"/>
    <xf numFmtId="0" fontId="130" fillId="6" borderId="0" applyNumberFormat="0" applyBorder="0" applyAlignment="0" applyProtection="0"/>
    <xf numFmtId="0" fontId="130" fillId="7" borderId="0" applyNumberFormat="0" applyBorder="0" applyAlignment="0" applyProtection="0"/>
    <xf numFmtId="0" fontId="130" fillId="8" borderId="0" applyNumberFormat="0" applyBorder="0" applyAlignment="0" applyProtection="0"/>
    <xf numFmtId="0" fontId="130" fillId="9" borderId="0" applyNumberFormat="0" applyBorder="0" applyAlignment="0" applyProtection="0"/>
    <xf numFmtId="0" fontId="130" fillId="10" borderId="0" applyNumberFormat="0" applyBorder="0" applyAlignment="0" applyProtection="0"/>
    <xf numFmtId="0" fontId="130" fillId="11" borderId="0" applyNumberFormat="0" applyBorder="0" applyAlignment="0" applyProtection="0"/>
    <xf numFmtId="0" fontId="130" fillId="12" borderId="0" applyNumberFormat="0" applyBorder="0" applyAlignment="0" applyProtection="0"/>
    <xf numFmtId="0" fontId="130" fillId="13" borderId="0" applyNumberFormat="0" applyBorder="0" applyAlignment="0" applyProtection="0"/>
    <xf numFmtId="0" fontId="131" fillId="14" borderId="0" applyNumberFormat="0" applyBorder="0" applyAlignment="0" applyProtection="0"/>
    <xf numFmtId="0" fontId="131" fillId="15" borderId="0" applyNumberFormat="0" applyBorder="0" applyAlignment="0" applyProtection="0"/>
    <xf numFmtId="0" fontId="131" fillId="16" borderId="0" applyNumberFormat="0" applyBorder="0" applyAlignment="0" applyProtection="0"/>
    <xf numFmtId="0" fontId="131" fillId="17" borderId="0" applyNumberFormat="0" applyBorder="0" applyAlignment="0" applyProtection="0"/>
    <xf numFmtId="0" fontId="131" fillId="18" borderId="0" applyNumberFormat="0" applyBorder="0" applyAlignment="0" applyProtection="0"/>
    <xf numFmtId="0" fontId="131" fillId="19" borderId="0" applyNumberFormat="0" applyBorder="0" applyAlignment="0" applyProtection="0"/>
    <xf numFmtId="0" fontId="131" fillId="20" borderId="0" applyNumberFormat="0" applyBorder="0" applyAlignment="0" applyProtection="0"/>
    <xf numFmtId="0" fontId="131" fillId="21" borderId="0" applyNumberFormat="0" applyBorder="0" applyAlignment="0" applyProtection="0"/>
    <xf numFmtId="0" fontId="131" fillId="22" borderId="0" applyNumberFormat="0" applyBorder="0" applyAlignment="0" applyProtection="0"/>
    <xf numFmtId="0" fontId="131" fillId="23" borderId="0" applyNumberFormat="0" applyBorder="0" applyAlignment="0" applyProtection="0"/>
    <xf numFmtId="0" fontId="131" fillId="24" borderId="0" applyNumberFormat="0" applyBorder="0" applyAlignment="0" applyProtection="0"/>
    <xf numFmtId="0" fontId="131" fillId="25" borderId="0" applyNumberFormat="0" applyBorder="0" applyAlignment="0" applyProtection="0"/>
    <xf numFmtId="0" fontId="132" fillId="26" borderId="0" applyNumberFormat="0" applyBorder="0" applyAlignment="0" applyProtection="0"/>
    <xf numFmtId="0" fontId="133" fillId="27" borderId="1" applyNumberFormat="0" applyAlignment="0" applyProtection="0"/>
    <xf numFmtId="0" fontId="1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5" fillId="0" borderId="0" applyNumberFormat="0" applyFill="0" applyBorder="0" applyAlignment="0" applyProtection="0"/>
    <xf numFmtId="0" fontId="7" fillId="0" borderId="0" applyNumberFormat="0" applyFill="0" applyBorder="0" applyAlignment="0" applyProtection="0"/>
    <xf numFmtId="0" fontId="136" fillId="29" borderId="0" applyNumberFormat="0" applyBorder="0" applyAlignment="0" applyProtection="0"/>
    <xf numFmtId="0" fontId="137" fillId="0" borderId="3" applyNumberFormat="0" applyFill="0" applyAlignment="0" applyProtection="0"/>
    <xf numFmtId="0" fontId="138" fillId="0" borderId="4" applyNumberFormat="0" applyFill="0" applyAlignment="0" applyProtection="0"/>
    <xf numFmtId="0" fontId="139" fillId="0" borderId="5" applyNumberFormat="0" applyFill="0" applyAlignment="0" applyProtection="0"/>
    <xf numFmtId="0" fontId="139" fillId="0" borderId="0" applyNumberFormat="0" applyFill="0" applyBorder="0" applyAlignment="0" applyProtection="0"/>
    <xf numFmtId="0" fontId="6" fillId="0" borderId="0" applyNumberFormat="0" applyFill="0" applyBorder="0" applyAlignment="0" applyProtection="0"/>
    <xf numFmtId="0" fontId="140" fillId="30" borderId="1" applyNumberFormat="0" applyAlignment="0" applyProtection="0"/>
    <xf numFmtId="0" fontId="141" fillId="0" borderId="6" applyNumberFormat="0" applyFill="0" applyAlignment="0" applyProtection="0"/>
    <xf numFmtId="0" fontId="142" fillId="31" borderId="0" applyNumberFormat="0" applyBorder="0" applyAlignment="0" applyProtection="0"/>
    <xf numFmtId="0" fontId="0" fillId="32" borderId="7" applyNumberFormat="0" applyFont="0" applyAlignment="0" applyProtection="0"/>
    <xf numFmtId="0" fontId="143" fillId="27" borderId="8" applyNumberFormat="0" applyAlignment="0" applyProtection="0"/>
    <xf numFmtId="9" fontId="0" fillId="0" borderId="0" applyFont="0" applyFill="0" applyBorder="0" applyAlignment="0" applyProtection="0"/>
    <xf numFmtId="0" fontId="144" fillId="0" borderId="0" applyNumberFormat="0" applyFill="0" applyBorder="0" applyAlignment="0" applyProtection="0"/>
    <xf numFmtId="0" fontId="145" fillId="0" borderId="9" applyNumberFormat="0" applyFill="0" applyAlignment="0" applyProtection="0"/>
    <xf numFmtId="0" fontId="146" fillId="0" borderId="0" applyNumberFormat="0" applyFill="0" applyBorder="0" applyAlignment="0" applyProtection="0"/>
  </cellStyleXfs>
  <cellXfs count="776">
    <xf numFmtId="0" fontId="0" fillId="0" borderId="0" xfId="0" applyAlignment="1">
      <alignment/>
    </xf>
    <xf numFmtId="0" fontId="1" fillId="0" borderId="0" xfId="0" applyFont="1" applyAlignment="1">
      <alignment/>
    </xf>
    <xf numFmtId="0" fontId="2" fillId="0" borderId="0" xfId="0" applyFont="1" applyAlignment="1">
      <alignment wrapText="1"/>
    </xf>
    <xf numFmtId="0" fontId="3" fillId="0" borderId="0" xfId="0" applyFont="1" applyAlignment="1">
      <alignment/>
    </xf>
    <xf numFmtId="0" fontId="0" fillId="33" borderId="10" xfId="0" applyFill="1" applyBorder="1" applyAlignment="1">
      <alignment/>
    </xf>
    <xf numFmtId="0" fontId="3" fillId="33" borderId="10" xfId="0" applyFont="1" applyFill="1" applyBorder="1" applyAlignment="1">
      <alignment/>
    </xf>
    <xf numFmtId="0" fontId="2" fillId="33" borderId="10" xfId="0" applyFont="1" applyFill="1" applyBorder="1" applyAlignment="1">
      <alignment/>
    </xf>
    <xf numFmtId="0" fontId="2" fillId="34" borderId="11" xfId="0" applyFont="1" applyFill="1" applyBorder="1" applyAlignment="1">
      <alignment/>
    </xf>
    <xf numFmtId="0" fontId="3" fillId="34" borderId="11" xfId="0" applyFont="1" applyFill="1" applyBorder="1" applyAlignment="1">
      <alignment/>
    </xf>
    <xf numFmtId="0" fontId="0" fillId="34" borderId="10" xfId="0" applyFill="1" applyBorder="1" applyAlignment="1">
      <alignment/>
    </xf>
    <xf numFmtId="0" fontId="2" fillId="35" borderId="11" xfId="0" applyFont="1" applyFill="1" applyBorder="1" applyAlignment="1">
      <alignment/>
    </xf>
    <xf numFmtId="0" fontId="0" fillId="35" borderId="10" xfId="0" applyFill="1" applyBorder="1" applyAlignment="1">
      <alignment/>
    </xf>
    <xf numFmtId="0" fontId="3" fillId="0" borderId="11" xfId="0" applyFont="1" applyFill="1" applyBorder="1" applyAlignment="1">
      <alignment/>
    </xf>
    <xf numFmtId="0" fontId="5" fillId="35" borderId="11" xfId="0" applyFont="1" applyFill="1" applyBorder="1" applyAlignment="1">
      <alignment/>
    </xf>
    <xf numFmtId="0" fontId="0" fillId="35" borderId="12" xfId="0" applyFill="1" applyBorder="1" applyAlignment="1">
      <alignment/>
    </xf>
    <xf numFmtId="0" fontId="5" fillId="0" borderId="11" xfId="0" applyFont="1" applyFill="1" applyBorder="1" applyAlignment="1">
      <alignment/>
    </xf>
    <xf numFmtId="0" fontId="8" fillId="0" borderId="0" xfId="0" applyFont="1" applyAlignment="1">
      <alignment horizontal="right"/>
    </xf>
    <xf numFmtId="0" fontId="10" fillId="0" borderId="0" xfId="0" applyFont="1" applyAlignment="1">
      <alignment horizontal="center"/>
    </xf>
    <xf numFmtId="9" fontId="0" fillId="0" borderId="0" xfId="59" applyFont="1" applyAlignment="1">
      <alignment/>
    </xf>
    <xf numFmtId="0" fontId="11" fillId="0" borderId="0" xfId="0" applyFont="1" applyAlignment="1">
      <alignment horizontal="right"/>
    </xf>
    <xf numFmtId="9" fontId="12" fillId="0" borderId="0" xfId="59" applyFont="1" applyAlignment="1">
      <alignment/>
    </xf>
    <xf numFmtId="0" fontId="13" fillId="0" borderId="0" xfId="0" applyFont="1" applyAlignment="1">
      <alignment horizontal="right"/>
    </xf>
    <xf numFmtId="169" fontId="14" fillId="0" borderId="0" xfId="42" applyNumberFormat="1" applyFont="1" applyAlignment="1">
      <alignment/>
    </xf>
    <xf numFmtId="9" fontId="14" fillId="0" borderId="0" xfId="59" applyFont="1" applyAlignment="1">
      <alignment/>
    </xf>
    <xf numFmtId="0" fontId="15" fillId="0" borderId="0" xfId="0" applyFont="1" applyAlignment="1">
      <alignment horizontal="right"/>
    </xf>
    <xf numFmtId="9" fontId="16" fillId="0" borderId="0" xfId="59" applyFont="1" applyAlignment="1">
      <alignment/>
    </xf>
    <xf numFmtId="44" fontId="12" fillId="0" borderId="0" xfId="44" applyFont="1" applyAlignment="1">
      <alignment/>
    </xf>
    <xf numFmtId="168" fontId="0" fillId="0" borderId="0" xfId="42" applyNumberFormat="1" applyFont="1" applyAlignment="1">
      <alignment/>
    </xf>
    <xf numFmtId="0" fontId="17" fillId="0" borderId="0" xfId="0" applyFont="1" applyAlignment="1">
      <alignment/>
    </xf>
    <xf numFmtId="0" fontId="18" fillId="0" borderId="0" xfId="0" applyFont="1" applyAlignment="1">
      <alignment/>
    </xf>
    <xf numFmtId="0" fontId="20" fillId="0" borderId="0" xfId="0" applyFont="1" applyAlignment="1">
      <alignment/>
    </xf>
    <xf numFmtId="0" fontId="0" fillId="0" borderId="0" xfId="0" applyBorder="1" applyAlignment="1">
      <alignment/>
    </xf>
    <xf numFmtId="0" fontId="21" fillId="36" borderId="13" xfId="0" applyFont="1" applyFill="1" applyBorder="1" applyAlignment="1">
      <alignment/>
    </xf>
    <xf numFmtId="0" fontId="4" fillId="0" borderId="14" xfId="0" applyFont="1" applyBorder="1" applyAlignment="1">
      <alignment/>
    </xf>
    <xf numFmtId="0" fontId="4" fillId="0" borderId="0" xfId="0" applyFont="1" applyBorder="1" applyAlignment="1">
      <alignment/>
    </xf>
    <xf numFmtId="0" fontId="5" fillId="0" borderId="0" xfId="0" applyFont="1" applyBorder="1" applyAlignment="1">
      <alignment/>
    </xf>
    <xf numFmtId="0" fontId="0" fillId="0" borderId="14" xfId="0" applyBorder="1" applyAlignment="1">
      <alignment/>
    </xf>
    <xf numFmtId="0" fontId="5" fillId="0" borderId="14" xfId="0" applyFont="1" applyBorder="1" applyAlignment="1">
      <alignment horizontal="right"/>
    </xf>
    <xf numFmtId="44" fontId="5" fillId="0" borderId="0" xfId="44" applyFont="1" applyBorder="1" applyAlignment="1">
      <alignment/>
    </xf>
    <xf numFmtId="0" fontId="0" fillId="0" borderId="15" xfId="0" applyBorder="1" applyAlignment="1">
      <alignment/>
    </xf>
    <xf numFmtId="0" fontId="24" fillId="36" borderId="14" xfId="0" applyFont="1" applyFill="1" applyBorder="1" applyAlignment="1">
      <alignment horizontal="right"/>
    </xf>
    <xf numFmtId="0" fontId="4" fillId="36" borderId="0" xfId="0" applyFont="1" applyFill="1" applyBorder="1" applyAlignment="1">
      <alignment/>
    </xf>
    <xf numFmtId="0" fontId="5" fillId="0" borderId="16" xfId="0" applyFont="1" applyBorder="1" applyAlignment="1">
      <alignment horizontal="right"/>
    </xf>
    <xf numFmtId="0" fontId="5" fillId="0" borderId="17" xfId="0" applyFont="1" applyBorder="1" applyAlignment="1">
      <alignment/>
    </xf>
    <xf numFmtId="0" fontId="29" fillId="0" borderId="0" xfId="0" applyFont="1" applyAlignment="1">
      <alignment/>
    </xf>
    <xf numFmtId="0" fontId="24" fillId="36" borderId="16" xfId="0" applyFont="1" applyFill="1" applyBorder="1" applyAlignment="1">
      <alignment horizontal="right"/>
    </xf>
    <xf numFmtId="0" fontId="34" fillId="36" borderId="17" xfId="0" applyFont="1" applyFill="1" applyBorder="1" applyAlignment="1">
      <alignment/>
    </xf>
    <xf numFmtId="172" fontId="24" fillId="36" borderId="17" xfId="0" applyNumberFormat="1" applyFont="1" applyFill="1" applyBorder="1" applyAlignment="1">
      <alignment horizontal="center"/>
    </xf>
    <xf numFmtId="0" fontId="30" fillId="0" borderId="18" xfId="0" applyFont="1" applyBorder="1" applyAlignment="1">
      <alignment/>
    </xf>
    <xf numFmtId="0" fontId="30" fillId="0" borderId="18" xfId="0" applyFont="1" applyBorder="1" applyAlignment="1">
      <alignment horizontal="center"/>
    </xf>
    <xf numFmtId="0" fontId="10" fillId="0" borderId="19" xfId="0" applyFont="1" applyBorder="1" applyAlignment="1">
      <alignment horizontal="center"/>
    </xf>
    <xf numFmtId="170" fontId="5" fillId="0" borderId="0" xfId="44" applyNumberFormat="1" applyFont="1" applyBorder="1" applyAlignment="1">
      <alignment/>
    </xf>
    <xf numFmtId="42" fontId="5" fillId="0" borderId="0" xfId="0" applyNumberFormat="1" applyFont="1" applyBorder="1" applyAlignment="1">
      <alignment/>
    </xf>
    <xf numFmtId="42" fontId="5" fillId="36" borderId="0" xfId="44" applyNumberFormat="1" applyFont="1" applyFill="1" applyBorder="1" applyAlignment="1">
      <alignment/>
    </xf>
    <xf numFmtId="2" fontId="5" fillId="0" borderId="15" xfId="0" applyNumberFormat="1" applyFont="1" applyBorder="1" applyAlignment="1">
      <alignment horizontal="center"/>
    </xf>
    <xf numFmtId="0" fontId="8" fillId="0" borderId="14" xfId="0" applyFont="1" applyBorder="1" applyAlignment="1">
      <alignment horizontal="right"/>
    </xf>
    <xf numFmtId="170" fontId="38" fillId="0" borderId="0" xfId="0" applyNumberFormat="1" applyFont="1" applyBorder="1" applyAlignment="1">
      <alignment/>
    </xf>
    <xf numFmtId="0" fontId="4" fillId="0" borderId="15" xfId="0" applyFont="1" applyBorder="1" applyAlignment="1">
      <alignment horizontal="center"/>
    </xf>
    <xf numFmtId="0" fontId="5" fillId="36" borderId="14" xfId="0" applyFont="1" applyFill="1" applyBorder="1" applyAlignment="1">
      <alignment horizontal="right"/>
    </xf>
    <xf numFmtId="1" fontId="5" fillId="0" borderId="0" xfId="0" applyNumberFormat="1" applyFont="1" applyBorder="1" applyAlignment="1">
      <alignment/>
    </xf>
    <xf numFmtId="37" fontId="5" fillId="36" borderId="0" xfId="44" applyNumberFormat="1" applyFont="1" applyFill="1" applyBorder="1" applyAlignment="1">
      <alignment/>
    </xf>
    <xf numFmtId="0" fontId="0" fillId="0" borderId="14" xfId="0" applyFont="1" applyBorder="1" applyAlignment="1">
      <alignment horizontal="right"/>
    </xf>
    <xf numFmtId="0" fontId="39" fillId="36" borderId="14" xfId="0" applyFont="1" applyFill="1" applyBorder="1" applyAlignment="1">
      <alignment horizontal="right"/>
    </xf>
    <xf numFmtId="0" fontId="40" fillId="36" borderId="0" xfId="0" applyFont="1" applyFill="1" applyBorder="1" applyAlignment="1">
      <alignment/>
    </xf>
    <xf numFmtId="0" fontId="39" fillId="36" borderId="0" xfId="0" applyFont="1" applyFill="1" applyBorder="1" applyAlignment="1">
      <alignment/>
    </xf>
    <xf numFmtId="44" fontId="39" fillId="36" borderId="0" xfId="44" applyFont="1" applyFill="1" applyBorder="1" applyAlignment="1">
      <alignment/>
    </xf>
    <xf numFmtId="0" fontId="39" fillId="36" borderId="16" xfId="0" applyFont="1" applyFill="1" applyBorder="1" applyAlignment="1">
      <alignment horizontal="right"/>
    </xf>
    <xf numFmtId="0" fontId="40" fillId="36" borderId="17" xfId="0" applyFont="1" applyFill="1" applyBorder="1" applyAlignment="1">
      <alignment/>
    </xf>
    <xf numFmtId="0" fontId="39" fillId="36" borderId="17" xfId="0" applyFont="1" applyFill="1" applyBorder="1" applyAlignment="1">
      <alignment/>
    </xf>
    <xf numFmtId="44" fontId="39" fillId="36" borderId="17" xfId="44" applyFont="1" applyFill="1" applyBorder="1" applyAlignment="1">
      <alignment/>
    </xf>
    <xf numFmtId="2" fontId="5" fillId="0" borderId="20" xfId="0" applyNumberFormat="1" applyFont="1" applyBorder="1" applyAlignment="1">
      <alignment horizontal="center"/>
    </xf>
    <xf numFmtId="0" fontId="0" fillId="0" borderId="0" xfId="0" applyAlignment="1" applyProtection="1">
      <alignment/>
      <protection/>
    </xf>
    <xf numFmtId="43" fontId="39" fillId="0" borderId="21" xfId="42" applyFont="1" applyBorder="1" applyAlignment="1" applyProtection="1">
      <alignment horizontal="center" wrapText="1"/>
      <protection/>
    </xf>
    <xf numFmtId="1" fontId="39" fillId="0" borderId="21" xfId="42" applyNumberFormat="1" applyFont="1" applyBorder="1" applyAlignment="1" applyProtection="1">
      <alignment horizontal="center" wrapText="1"/>
      <protection/>
    </xf>
    <xf numFmtId="14" fontId="39" fillId="0" borderId="21" xfId="42" applyNumberFormat="1" applyFont="1" applyBorder="1" applyAlignment="1" applyProtection="1">
      <alignment horizontal="center" wrapText="1"/>
      <protection/>
    </xf>
    <xf numFmtId="173" fontId="39" fillId="0" borderId="21" xfId="42" applyNumberFormat="1" applyFont="1" applyBorder="1" applyAlignment="1" applyProtection="1">
      <alignment horizontal="center" wrapText="1"/>
      <protection/>
    </xf>
    <xf numFmtId="174" fontId="39" fillId="0" borderId="21" xfId="59" applyNumberFormat="1" applyFont="1" applyBorder="1" applyAlignment="1" applyProtection="1">
      <alignment horizontal="center" wrapText="1"/>
      <protection/>
    </xf>
    <xf numFmtId="0" fontId="4" fillId="35" borderId="0" xfId="0" applyFont="1" applyFill="1" applyAlignment="1" applyProtection="1">
      <alignment/>
      <protection locked="0"/>
    </xf>
    <xf numFmtId="0" fontId="41" fillId="35" borderId="0" xfId="0" applyFont="1" applyFill="1" applyAlignment="1" applyProtection="1">
      <alignment/>
      <protection locked="0"/>
    </xf>
    <xf numFmtId="1" fontId="4" fillId="35" borderId="0" xfId="0" applyNumberFormat="1" applyFont="1" applyFill="1" applyAlignment="1" applyProtection="1">
      <alignment/>
      <protection locked="0"/>
    </xf>
    <xf numFmtId="14" fontId="4" fillId="35" borderId="0" xfId="0" applyNumberFormat="1" applyFont="1" applyFill="1" applyAlignment="1" applyProtection="1">
      <alignment/>
      <protection locked="0"/>
    </xf>
    <xf numFmtId="14" fontId="4" fillId="35" borderId="10" xfId="0" applyNumberFormat="1" applyFont="1" applyFill="1" applyBorder="1" applyAlignment="1" applyProtection="1">
      <alignment/>
      <protection locked="0"/>
    </xf>
    <xf numFmtId="173" fontId="4" fillId="35" borderId="10" xfId="0" applyNumberFormat="1" applyFont="1" applyFill="1" applyBorder="1" applyAlignment="1" applyProtection="1">
      <alignment/>
      <protection locked="0"/>
    </xf>
    <xf numFmtId="174" fontId="40" fillId="0" borderId="10" xfId="59" applyNumberFormat="1" applyFont="1" applyFill="1" applyBorder="1" applyAlignment="1" applyProtection="1">
      <alignment/>
      <protection/>
    </xf>
    <xf numFmtId="0" fontId="4" fillId="0" borderId="0" xfId="0" applyFont="1" applyFill="1" applyAlignment="1" applyProtection="1">
      <alignment/>
      <protection locked="0"/>
    </xf>
    <xf numFmtId="0" fontId="41" fillId="0" borderId="0" xfId="0" applyFont="1" applyFill="1" applyAlignment="1" applyProtection="1">
      <alignment/>
      <protection locked="0"/>
    </xf>
    <xf numFmtId="1" fontId="4" fillId="0" borderId="0" xfId="0" applyNumberFormat="1" applyFont="1" applyFill="1" applyAlignment="1" applyProtection="1">
      <alignment/>
      <protection locked="0"/>
    </xf>
    <xf numFmtId="14" fontId="4" fillId="0" borderId="0" xfId="0" applyNumberFormat="1" applyFont="1" applyFill="1" applyAlignment="1" applyProtection="1">
      <alignment/>
      <protection locked="0"/>
    </xf>
    <xf numFmtId="0" fontId="0" fillId="0" borderId="0" xfId="0" applyAlignment="1" applyProtection="1">
      <alignment/>
      <protection locked="0"/>
    </xf>
    <xf numFmtId="0" fontId="0" fillId="0" borderId="0" xfId="0" applyBorder="1" applyAlignment="1" applyProtection="1">
      <alignment/>
      <protection/>
    </xf>
    <xf numFmtId="0" fontId="8" fillId="35" borderId="22" xfId="0" applyFont="1" applyFill="1" applyBorder="1" applyAlignment="1" applyProtection="1">
      <alignment/>
      <protection locked="0"/>
    </xf>
    <xf numFmtId="0" fontId="11" fillId="35" borderId="22" xfId="0" applyFont="1" applyFill="1" applyBorder="1" applyAlignment="1" applyProtection="1">
      <alignment/>
      <protection locked="0"/>
    </xf>
    <xf numFmtId="1" fontId="8" fillId="35" borderId="22" xfId="0" applyNumberFormat="1" applyFont="1" applyFill="1" applyBorder="1" applyAlignment="1" applyProtection="1">
      <alignment/>
      <protection locked="0"/>
    </xf>
    <xf numFmtId="0" fontId="8" fillId="35" borderId="23" xfId="0" applyFont="1" applyFill="1" applyBorder="1" applyAlignment="1" applyProtection="1">
      <alignment/>
      <protection locked="0"/>
    </xf>
    <xf numFmtId="0" fontId="11" fillId="35" borderId="23" xfId="0" applyFont="1" applyFill="1" applyBorder="1" applyAlignment="1" applyProtection="1">
      <alignment/>
      <protection locked="0"/>
    </xf>
    <xf numFmtId="1" fontId="8" fillId="35" borderId="23" xfId="0" applyNumberFormat="1" applyFont="1" applyFill="1" applyBorder="1" applyAlignment="1" applyProtection="1">
      <alignment/>
      <protection locked="0"/>
    </xf>
    <xf numFmtId="0" fontId="39" fillId="0" borderId="0" xfId="0" applyFont="1" applyFill="1" applyAlignment="1" applyProtection="1">
      <alignment/>
      <protection/>
    </xf>
    <xf numFmtId="0" fontId="41" fillId="0" borderId="0" xfId="0" applyFont="1" applyFill="1" applyAlignment="1" applyProtection="1">
      <alignment/>
      <protection/>
    </xf>
    <xf numFmtId="1" fontId="4" fillId="0" borderId="0" xfId="0" applyNumberFormat="1" applyFont="1" applyFill="1" applyAlignment="1" applyProtection="1">
      <alignment/>
      <protection/>
    </xf>
    <xf numFmtId="0" fontId="4" fillId="0" borderId="0" xfId="0" applyFont="1" applyFill="1" applyAlignment="1" applyProtection="1">
      <alignment/>
      <protection/>
    </xf>
    <xf numFmtId="14" fontId="4" fillId="0" borderId="0" xfId="0" applyNumberFormat="1" applyFont="1" applyFill="1" applyAlignment="1" applyProtection="1">
      <alignment/>
      <protection/>
    </xf>
    <xf numFmtId="173" fontId="4" fillId="0" borderId="0" xfId="0" applyNumberFormat="1" applyFont="1" applyFill="1" applyAlignment="1" applyProtection="1">
      <alignment/>
      <protection/>
    </xf>
    <xf numFmtId="174" fontId="4" fillId="0" borderId="0" xfId="59" applyNumberFormat="1" applyFont="1" applyFill="1" applyAlignment="1" applyProtection="1">
      <alignment/>
      <protection/>
    </xf>
    <xf numFmtId="0" fontId="4" fillId="0" borderId="24" xfId="0" applyFont="1" applyFill="1" applyBorder="1" applyAlignment="1" applyProtection="1">
      <alignment/>
      <protection/>
    </xf>
    <xf numFmtId="0" fontId="0" fillId="0" borderId="22" xfId="0" applyBorder="1" applyAlignment="1" applyProtection="1">
      <alignment/>
      <protection/>
    </xf>
    <xf numFmtId="1" fontId="17" fillId="0" borderId="22" xfId="0" applyNumberFormat="1" applyFont="1" applyFill="1" applyBorder="1" applyAlignment="1" applyProtection="1">
      <alignment horizontal="right"/>
      <protection/>
    </xf>
    <xf numFmtId="0" fontId="17" fillId="0" borderId="22" xfId="0" applyNumberFormat="1" applyFont="1" applyFill="1" applyBorder="1" applyAlignment="1" applyProtection="1">
      <alignment horizontal="center"/>
      <protection/>
    </xf>
    <xf numFmtId="174" fontId="0" fillId="0" borderId="22" xfId="59" applyNumberFormat="1" applyFont="1" applyFill="1" applyBorder="1" applyAlignment="1" applyProtection="1">
      <alignment/>
      <protection/>
    </xf>
    <xf numFmtId="0" fontId="0" fillId="0" borderId="25" xfId="0" applyBorder="1" applyAlignment="1" applyProtection="1">
      <alignment/>
      <protection/>
    </xf>
    <xf numFmtId="1" fontId="42" fillId="0" borderId="0" xfId="0" applyNumberFormat="1" applyFont="1" applyFill="1" applyAlignment="1" applyProtection="1">
      <alignment/>
      <protection/>
    </xf>
    <xf numFmtId="0" fontId="4" fillId="0" borderId="14" xfId="0" applyFont="1" applyFill="1" applyBorder="1" applyAlignment="1" applyProtection="1">
      <alignment/>
      <protection/>
    </xf>
    <xf numFmtId="14" fontId="17" fillId="0" borderId="0" xfId="0" applyNumberFormat="1" applyFont="1" applyFill="1" applyBorder="1" applyAlignment="1" applyProtection="1">
      <alignment horizontal="right"/>
      <protection/>
    </xf>
    <xf numFmtId="173" fontId="17" fillId="0" borderId="0" xfId="0" applyNumberFormat="1" applyFont="1" applyFill="1" applyBorder="1" applyAlignment="1" applyProtection="1">
      <alignment/>
      <protection/>
    </xf>
    <xf numFmtId="174" fontId="0" fillId="0" borderId="0" xfId="59" applyNumberFormat="1" applyFont="1" applyFill="1" applyBorder="1" applyAlignment="1" applyProtection="1">
      <alignment/>
      <protection/>
    </xf>
    <xf numFmtId="0" fontId="0" fillId="0" borderId="15" xfId="0" applyBorder="1" applyAlignment="1" applyProtection="1">
      <alignment/>
      <protection/>
    </xf>
    <xf numFmtId="14" fontId="4" fillId="0" borderId="0" xfId="0" applyNumberFormat="1" applyFont="1" applyFill="1" applyBorder="1" applyAlignment="1" applyProtection="1">
      <alignment/>
      <protection/>
    </xf>
    <xf numFmtId="173" fontId="17" fillId="0" borderId="0" xfId="0" applyNumberFormat="1" applyFont="1" applyFill="1" applyBorder="1" applyAlignment="1" applyProtection="1">
      <alignment horizontal="center"/>
      <protection/>
    </xf>
    <xf numFmtId="174" fontId="43" fillId="0" borderId="0" xfId="59" applyNumberFormat="1" applyFont="1" applyFill="1" applyBorder="1" applyAlignment="1" applyProtection="1">
      <alignment/>
      <protection/>
    </xf>
    <xf numFmtId="0" fontId="43" fillId="0" borderId="0" xfId="0" applyFont="1" applyBorder="1" applyAlignment="1" applyProtection="1" quotePrefix="1">
      <alignment/>
      <protection/>
    </xf>
    <xf numFmtId="0" fontId="43" fillId="0" borderId="0" xfId="0" applyFont="1" applyBorder="1" applyAlignment="1" applyProtection="1">
      <alignment/>
      <protection/>
    </xf>
    <xf numFmtId="0" fontId="43" fillId="0" borderId="15" xfId="0" applyFont="1" applyBorder="1" applyAlignment="1" applyProtection="1">
      <alignment/>
      <protection/>
    </xf>
    <xf numFmtId="0" fontId="0" fillId="0" borderId="26" xfId="0" applyBorder="1" applyAlignment="1" applyProtection="1">
      <alignment/>
      <protection/>
    </xf>
    <xf numFmtId="0" fontId="0" fillId="0" borderId="23" xfId="0" applyBorder="1" applyAlignment="1" applyProtection="1">
      <alignment/>
      <protection/>
    </xf>
    <xf numFmtId="0" fontId="0" fillId="0" borderId="27" xfId="0" applyBorder="1" applyAlignment="1" applyProtection="1">
      <alignment/>
      <protection/>
    </xf>
    <xf numFmtId="0" fontId="46" fillId="37" borderId="13" xfId="0" applyFont="1" applyFill="1" applyBorder="1" applyAlignment="1">
      <alignment/>
    </xf>
    <xf numFmtId="0" fontId="47" fillId="37" borderId="18" xfId="0" applyFont="1"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14" xfId="0" applyFill="1" applyBorder="1" applyAlignment="1">
      <alignment/>
    </xf>
    <xf numFmtId="0" fontId="0" fillId="37" borderId="0" xfId="0" applyFill="1" applyBorder="1" applyAlignment="1">
      <alignment/>
    </xf>
    <xf numFmtId="0" fontId="4" fillId="37" borderId="0" xfId="0" applyFont="1" applyFill="1" applyBorder="1" applyAlignment="1">
      <alignment/>
    </xf>
    <xf numFmtId="0" fontId="0" fillId="37" borderId="15" xfId="0" applyFill="1" applyBorder="1" applyAlignment="1">
      <alignment/>
    </xf>
    <xf numFmtId="0" fontId="48" fillId="37" borderId="0" xfId="0" applyFont="1" applyFill="1" applyBorder="1" applyAlignment="1">
      <alignment horizontal="center"/>
    </xf>
    <xf numFmtId="0" fontId="49" fillId="37" borderId="0" xfId="0" applyFont="1" applyFill="1" applyBorder="1" applyAlignment="1">
      <alignment horizontal="center"/>
    </xf>
    <xf numFmtId="0" fontId="50" fillId="37" borderId="14" xfId="0" applyFont="1" applyFill="1" applyBorder="1" applyAlignment="1">
      <alignment horizontal="right"/>
    </xf>
    <xf numFmtId="0" fontId="17" fillId="37" borderId="0" xfId="0" applyFont="1" applyFill="1" applyBorder="1" applyAlignment="1">
      <alignment horizontal="right"/>
    </xf>
    <xf numFmtId="169" fontId="8" fillId="37" borderId="0" xfId="42" applyNumberFormat="1" applyFont="1" applyFill="1" applyBorder="1" applyAlignment="1">
      <alignment horizontal="center"/>
    </xf>
    <xf numFmtId="169" fontId="39" fillId="37" borderId="0" xfId="42" applyNumberFormat="1" applyFont="1" applyFill="1" applyBorder="1" applyAlignment="1">
      <alignment horizontal="center"/>
    </xf>
    <xf numFmtId="0" fontId="10" fillId="37" borderId="0" xfId="0" applyFont="1" applyFill="1" applyBorder="1" applyAlignment="1">
      <alignment/>
    </xf>
    <xf numFmtId="175" fontId="10" fillId="37" borderId="15" xfId="0" applyNumberFormat="1" applyFont="1" applyFill="1" applyBorder="1" applyAlignment="1">
      <alignment horizontal="left"/>
    </xf>
    <xf numFmtId="169" fontId="8" fillId="37" borderId="0" xfId="42" applyNumberFormat="1" applyFont="1" applyFill="1" applyBorder="1" applyAlignment="1">
      <alignment horizontal="right"/>
    </xf>
    <xf numFmtId="169" fontId="39" fillId="37" borderId="0" xfId="42" applyNumberFormat="1" applyFont="1" applyFill="1" applyBorder="1" applyAlignment="1">
      <alignment horizontal="right"/>
    </xf>
    <xf numFmtId="168" fontId="8" fillId="37" borderId="0" xfId="42" applyNumberFormat="1" applyFont="1" applyFill="1" applyBorder="1" applyAlignment="1">
      <alignment horizontal="center"/>
    </xf>
    <xf numFmtId="168" fontId="39" fillId="37" borderId="0" xfId="42" applyNumberFormat="1" applyFont="1" applyFill="1" applyBorder="1" applyAlignment="1">
      <alignment horizontal="center"/>
    </xf>
    <xf numFmtId="174" fontId="8" fillId="37" borderId="0" xfId="0" applyNumberFormat="1" applyFont="1" applyFill="1" applyBorder="1" applyAlignment="1">
      <alignment horizontal="right"/>
    </xf>
    <xf numFmtId="174" fontId="39" fillId="35" borderId="0" xfId="0" applyNumberFormat="1" applyFont="1" applyFill="1" applyBorder="1" applyAlignment="1" applyProtection="1">
      <alignment horizontal="right"/>
      <protection locked="0"/>
    </xf>
    <xf numFmtId="174" fontId="39" fillId="37" borderId="0" xfId="0" applyNumberFormat="1" applyFont="1" applyFill="1" applyBorder="1" applyAlignment="1">
      <alignment horizontal="right"/>
    </xf>
    <xf numFmtId="44" fontId="8" fillId="37" borderId="0" xfId="44" applyFont="1" applyFill="1" applyBorder="1" applyAlignment="1">
      <alignment horizontal="right"/>
    </xf>
    <xf numFmtId="44" fontId="39" fillId="37" borderId="0" xfId="44" applyFont="1" applyFill="1" applyBorder="1" applyAlignment="1">
      <alignment horizontal="right"/>
    </xf>
    <xf numFmtId="0" fontId="4" fillId="37" borderId="15" xfId="0" applyFont="1" applyFill="1" applyBorder="1" applyAlignment="1">
      <alignment/>
    </xf>
    <xf numFmtId="0" fontId="51" fillId="37" borderId="0" xfId="0" applyFont="1" applyFill="1" applyBorder="1" applyAlignment="1">
      <alignment horizontal="left"/>
    </xf>
    <xf numFmtId="0" fontId="8" fillId="0" borderId="14" xfId="0" applyFont="1" applyFill="1" applyBorder="1" applyAlignment="1">
      <alignment horizontal="right"/>
    </xf>
    <xf numFmtId="0" fontId="17" fillId="0" borderId="0" xfId="0" applyFont="1" applyFill="1" applyBorder="1" applyAlignment="1">
      <alignment horizontal="right"/>
    </xf>
    <xf numFmtId="176" fontId="52" fillId="0" borderId="0" xfId="44" applyNumberFormat="1" applyFont="1" applyFill="1" applyBorder="1" applyAlignment="1">
      <alignment horizontal="right"/>
    </xf>
    <xf numFmtId="176" fontId="39" fillId="0" borderId="0" xfId="44" applyNumberFormat="1" applyFont="1" applyFill="1" applyBorder="1" applyAlignment="1">
      <alignment horizontal="center"/>
    </xf>
    <xf numFmtId="176" fontId="53" fillId="0" borderId="0" xfId="44" applyNumberFormat="1" applyFont="1" applyFill="1" applyBorder="1" applyAlignment="1">
      <alignment horizontal="right"/>
    </xf>
    <xf numFmtId="176" fontId="39" fillId="0" borderId="0" xfId="44" applyNumberFormat="1" applyFont="1" applyFill="1" applyBorder="1" applyAlignment="1">
      <alignment horizontal="right"/>
    </xf>
    <xf numFmtId="0" fontId="39" fillId="37" borderId="0" xfId="0" applyFont="1" applyFill="1" applyBorder="1" applyAlignment="1">
      <alignment horizontal="left"/>
    </xf>
    <xf numFmtId="176" fontId="8" fillId="37" borderId="0" xfId="44" applyNumberFormat="1" applyFont="1" applyFill="1" applyBorder="1" applyAlignment="1">
      <alignment horizontal="right"/>
    </xf>
    <xf numFmtId="0" fontId="8" fillId="37" borderId="0" xfId="0" applyFont="1" applyFill="1" applyBorder="1" applyAlignment="1">
      <alignment horizontal="left"/>
    </xf>
    <xf numFmtId="0" fontId="8" fillId="37" borderId="0" xfId="0" applyFont="1" applyFill="1" applyBorder="1" applyAlignment="1">
      <alignment horizontal="right"/>
    </xf>
    <xf numFmtId="176" fontId="39" fillId="37" borderId="0" xfId="44" applyNumberFormat="1" applyFont="1" applyFill="1" applyBorder="1" applyAlignment="1">
      <alignment horizontal="right" vertical="center"/>
    </xf>
    <xf numFmtId="0" fontId="39" fillId="37" borderId="0" xfId="0" applyFont="1" applyFill="1" applyBorder="1" applyAlignment="1">
      <alignment horizontal="left" vertical="center"/>
    </xf>
    <xf numFmtId="177" fontId="39" fillId="37" borderId="0" xfId="44" applyNumberFormat="1" applyFont="1" applyFill="1" applyBorder="1" applyAlignment="1">
      <alignment horizontal="right" vertical="center"/>
    </xf>
    <xf numFmtId="174" fontId="24" fillId="37" borderId="0" xfId="44" applyNumberFormat="1" applyFont="1" applyFill="1" applyBorder="1" applyAlignment="1">
      <alignment horizontal="right" vertical="center"/>
    </xf>
    <xf numFmtId="0" fontId="24" fillId="37" borderId="0" xfId="0" applyFont="1" applyFill="1" applyBorder="1" applyAlignment="1">
      <alignment horizontal="left" vertical="center"/>
    </xf>
    <xf numFmtId="174" fontId="39" fillId="37" borderId="0" xfId="44" applyNumberFormat="1" applyFont="1" applyFill="1" applyBorder="1" applyAlignment="1">
      <alignment horizontal="right" vertical="center"/>
    </xf>
    <xf numFmtId="0" fontId="8" fillId="37" borderId="14" xfId="0" applyFont="1" applyFill="1" applyBorder="1" applyAlignment="1">
      <alignment horizontal="right"/>
    </xf>
    <xf numFmtId="178" fontId="8" fillId="37" borderId="0" xfId="44" applyNumberFormat="1" applyFont="1" applyFill="1" applyBorder="1" applyAlignment="1">
      <alignment horizontal="right"/>
    </xf>
    <xf numFmtId="178" fontId="39" fillId="37" borderId="0" xfId="44" applyNumberFormat="1" applyFont="1" applyFill="1" applyBorder="1" applyAlignment="1">
      <alignment horizontal="right"/>
    </xf>
    <xf numFmtId="44" fontId="8" fillId="37" borderId="0" xfId="44" applyFont="1" applyFill="1" applyBorder="1" applyAlignment="1">
      <alignment horizontal="right" vertical="center"/>
    </xf>
    <xf numFmtId="44" fontId="11" fillId="35" borderId="0" xfId="44" applyFont="1" applyFill="1" applyBorder="1" applyAlignment="1" applyProtection="1">
      <alignment horizontal="right"/>
      <protection locked="0"/>
    </xf>
    <xf numFmtId="0" fontId="54" fillId="37" borderId="0" xfId="0" applyFont="1" applyFill="1" applyBorder="1" applyAlignment="1">
      <alignment/>
    </xf>
    <xf numFmtId="44" fontId="55" fillId="37" borderId="0" xfId="44" applyFont="1" applyFill="1" applyBorder="1" applyAlignment="1">
      <alignment horizontal="right"/>
    </xf>
    <xf numFmtId="0" fontId="3" fillId="37" borderId="0" xfId="0" applyFont="1" applyFill="1" applyBorder="1" applyAlignment="1">
      <alignment/>
    </xf>
    <xf numFmtId="0" fontId="51" fillId="37" borderId="0" xfId="0" applyFont="1" applyFill="1" applyBorder="1" applyAlignment="1">
      <alignment horizontal="center"/>
    </xf>
    <xf numFmtId="0" fontId="56" fillId="37" borderId="0" xfId="0" applyFont="1" applyFill="1" applyBorder="1" applyAlignment="1">
      <alignment horizontal="center"/>
    </xf>
    <xf numFmtId="0" fontId="0" fillId="37" borderId="22" xfId="0" applyFill="1" applyBorder="1" applyAlignment="1">
      <alignment/>
    </xf>
    <xf numFmtId="0" fontId="5" fillId="37" borderId="22" xfId="0" applyFont="1" applyFill="1" applyBorder="1" applyAlignment="1">
      <alignment/>
    </xf>
    <xf numFmtId="0" fontId="4" fillId="37" borderId="14" xfId="0" applyFont="1" applyFill="1" applyBorder="1" applyAlignment="1">
      <alignment/>
    </xf>
    <xf numFmtId="176" fontId="8" fillId="0" borderId="0" xfId="44" applyNumberFormat="1" applyFont="1" applyFill="1" applyBorder="1" applyAlignment="1">
      <alignment horizontal="center"/>
    </xf>
    <xf numFmtId="44" fontId="8" fillId="37" borderId="0" xfId="44" applyFont="1" applyFill="1" applyBorder="1" applyAlignment="1">
      <alignment/>
    </xf>
    <xf numFmtId="0" fontId="8" fillId="37" borderId="0" xfId="0" applyFont="1" applyFill="1" applyBorder="1" applyAlignment="1">
      <alignment/>
    </xf>
    <xf numFmtId="0" fontId="17" fillId="37" borderId="0" xfId="0" applyFont="1" applyFill="1" applyBorder="1" applyAlignment="1">
      <alignment/>
    </xf>
    <xf numFmtId="0" fontId="5" fillId="37" borderId="0" xfId="0" applyFont="1" applyFill="1" applyBorder="1" applyAlignment="1">
      <alignment/>
    </xf>
    <xf numFmtId="0" fontId="0" fillId="37" borderId="0" xfId="0" applyFont="1" applyFill="1" applyBorder="1" applyAlignment="1">
      <alignment/>
    </xf>
    <xf numFmtId="44" fontId="8" fillId="37" borderId="0" xfId="0" applyNumberFormat="1" applyFont="1" applyFill="1" applyBorder="1" applyAlignment="1">
      <alignment/>
    </xf>
    <xf numFmtId="0" fontId="8" fillId="37" borderId="0" xfId="0" applyFont="1" applyFill="1" applyBorder="1" applyAlignment="1">
      <alignment/>
    </xf>
    <xf numFmtId="0" fontId="57" fillId="37" borderId="0" xfId="0" applyFont="1" applyFill="1" applyBorder="1" applyAlignment="1">
      <alignment/>
    </xf>
    <xf numFmtId="44" fontId="52" fillId="37" borderId="0" xfId="44" applyFont="1" applyFill="1" applyBorder="1" applyAlignment="1">
      <alignment/>
    </xf>
    <xf numFmtId="0" fontId="0" fillId="37" borderId="23" xfId="0" applyFill="1" applyBorder="1" applyAlignment="1">
      <alignment/>
    </xf>
    <xf numFmtId="174" fontId="24" fillId="37" borderId="23" xfId="0" applyNumberFormat="1" applyFont="1" applyFill="1" applyBorder="1" applyAlignment="1">
      <alignment horizontal="center"/>
    </xf>
    <xf numFmtId="0" fontId="24" fillId="37" borderId="23" xfId="0" applyFont="1" applyFill="1" applyBorder="1" applyAlignment="1">
      <alignment horizontal="center"/>
    </xf>
    <xf numFmtId="0" fontId="0" fillId="37" borderId="16" xfId="0" applyFill="1" applyBorder="1" applyAlignment="1">
      <alignment/>
    </xf>
    <xf numFmtId="0" fontId="0" fillId="37" borderId="17" xfId="0" applyFill="1" applyBorder="1" applyAlignment="1">
      <alignment/>
    </xf>
    <xf numFmtId="0" fontId="0" fillId="37" borderId="20" xfId="0" applyFill="1" applyBorder="1" applyAlignment="1">
      <alignment/>
    </xf>
    <xf numFmtId="0" fontId="0" fillId="37" borderId="14" xfId="0" applyFill="1" applyBorder="1" applyAlignment="1">
      <alignment horizontal="right"/>
    </xf>
    <xf numFmtId="0" fontId="0" fillId="37" borderId="0" xfId="0" applyFill="1" applyBorder="1" applyAlignment="1">
      <alignment horizontal="right"/>
    </xf>
    <xf numFmtId="0" fontId="10" fillId="37" borderId="14" xfId="0" applyFont="1" applyFill="1" applyBorder="1" applyAlignment="1">
      <alignment horizontal="right"/>
    </xf>
    <xf numFmtId="0" fontId="10" fillId="37" borderId="0" xfId="0" applyFont="1" applyFill="1" applyBorder="1" applyAlignment="1">
      <alignment horizontal="right"/>
    </xf>
    <xf numFmtId="44" fontId="57" fillId="37" borderId="0" xfId="44" applyFont="1" applyFill="1" applyBorder="1" applyAlignment="1">
      <alignment horizontal="center"/>
    </xf>
    <xf numFmtId="44" fontId="17" fillId="37" borderId="0" xfId="44" applyFont="1" applyFill="1" applyBorder="1" applyAlignment="1">
      <alignment horizontal="center"/>
    </xf>
    <xf numFmtId="0" fontId="17" fillId="37" borderId="14" xfId="0" applyFont="1" applyFill="1" applyBorder="1" applyAlignment="1">
      <alignment horizontal="right"/>
    </xf>
    <xf numFmtId="39" fontId="0" fillId="37" borderId="0" xfId="44" applyNumberFormat="1" applyFont="1" applyFill="1" applyBorder="1" applyAlignment="1">
      <alignment/>
    </xf>
    <xf numFmtId="7" fontId="0" fillId="37" borderId="0" xfId="44" applyNumberFormat="1" applyFont="1" applyFill="1" applyBorder="1" applyAlignment="1">
      <alignment/>
    </xf>
    <xf numFmtId="44" fontId="17" fillId="37" borderId="0" xfId="44" applyFont="1" applyFill="1" applyBorder="1" applyAlignment="1">
      <alignment/>
    </xf>
    <xf numFmtId="44" fontId="17" fillId="37" borderId="15" xfId="44" applyFont="1" applyFill="1" applyBorder="1" applyAlignment="1">
      <alignment/>
    </xf>
    <xf numFmtId="44" fontId="0" fillId="37" borderId="17" xfId="44" applyFont="1" applyFill="1" applyBorder="1" applyAlignment="1">
      <alignment/>
    </xf>
    <xf numFmtId="44" fontId="61" fillId="35" borderId="0" xfId="44" applyFont="1" applyFill="1" applyBorder="1" applyAlignment="1">
      <alignment/>
    </xf>
    <xf numFmtId="0" fontId="39" fillId="0" borderId="0" xfId="0" applyFont="1" applyFill="1" applyBorder="1" applyAlignment="1">
      <alignment/>
    </xf>
    <xf numFmtId="0" fontId="4" fillId="0" borderId="0" xfId="0" applyFont="1" applyFill="1" applyBorder="1" applyAlignment="1">
      <alignment/>
    </xf>
    <xf numFmtId="44" fontId="8" fillId="0" borderId="0" xfId="44" applyFont="1" applyBorder="1" applyAlignment="1">
      <alignment/>
    </xf>
    <xf numFmtId="0" fontId="62" fillId="0" borderId="0" xfId="0" applyFont="1" applyAlignment="1">
      <alignment horizontal="right"/>
    </xf>
    <xf numFmtId="168" fontId="64" fillId="0" borderId="10" xfId="42" applyNumberFormat="1" applyFont="1" applyBorder="1" applyAlignment="1">
      <alignment/>
    </xf>
    <xf numFmtId="0" fontId="39" fillId="0" borderId="0" xfId="0" applyFont="1" applyFill="1" applyBorder="1" applyAlignment="1">
      <alignment horizontal="right"/>
    </xf>
    <xf numFmtId="0" fontId="23" fillId="0" borderId="0" xfId="0" applyFont="1" applyFill="1" applyBorder="1" applyAlignment="1">
      <alignment horizontal="right"/>
    </xf>
    <xf numFmtId="0" fontId="8" fillId="0" borderId="0" xfId="0" applyFont="1" applyFill="1" applyBorder="1" applyAlignment="1">
      <alignment horizontal="right"/>
    </xf>
    <xf numFmtId="0" fontId="65" fillId="0" borderId="0" xfId="0" applyFont="1" applyAlignment="1">
      <alignment horizontal="right"/>
    </xf>
    <xf numFmtId="0" fontId="19" fillId="0" borderId="0" xfId="0" applyFont="1" applyBorder="1" applyAlignment="1">
      <alignment/>
    </xf>
    <xf numFmtId="0" fontId="8" fillId="0" borderId="0" xfId="0" applyFont="1" applyBorder="1" applyAlignment="1">
      <alignment/>
    </xf>
    <xf numFmtId="0" fontId="0" fillId="38" borderId="0" xfId="0" applyFill="1" applyAlignment="1">
      <alignment/>
    </xf>
    <xf numFmtId="0" fontId="4" fillId="38" borderId="19" xfId="0" applyFont="1" applyFill="1" applyBorder="1" applyAlignment="1">
      <alignment/>
    </xf>
    <xf numFmtId="0" fontId="4" fillId="38" borderId="15" xfId="0" applyFont="1" applyFill="1" applyBorder="1" applyAlignment="1">
      <alignment/>
    </xf>
    <xf numFmtId="0" fontId="5" fillId="38" borderId="15" xfId="0" applyFont="1" applyFill="1" applyBorder="1" applyAlignment="1">
      <alignment/>
    </xf>
    <xf numFmtId="0" fontId="0" fillId="38" borderId="15" xfId="0" applyFill="1" applyBorder="1" applyAlignment="1">
      <alignment/>
    </xf>
    <xf numFmtId="0" fontId="5" fillId="38" borderId="20" xfId="0" applyFont="1" applyFill="1" applyBorder="1" applyAlignment="1">
      <alignment/>
    </xf>
    <xf numFmtId="0" fontId="72" fillId="0" borderId="0" xfId="0" applyFont="1" applyFill="1" applyAlignment="1">
      <alignment/>
    </xf>
    <xf numFmtId="168" fontId="64" fillId="37" borderId="10" xfId="42" applyNumberFormat="1" applyFont="1" applyFill="1" applyBorder="1" applyAlignment="1">
      <alignment/>
    </xf>
    <xf numFmtId="0" fontId="65" fillId="37" borderId="0" xfId="0" applyFont="1" applyFill="1" applyAlignment="1">
      <alignment horizontal="right"/>
    </xf>
    <xf numFmtId="44" fontId="13" fillId="37" borderId="0" xfId="44" applyFont="1" applyFill="1" applyAlignment="1">
      <alignment/>
    </xf>
    <xf numFmtId="0" fontId="5" fillId="37" borderId="0" xfId="0" applyFont="1" applyFill="1" applyAlignment="1">
      <alignment/>
    </xf>
    <xf numFmtId="0" fontId="62" fillId="0" borderId="14" xfId="0" applyFont="1" applyBorder="1" applyAlignment="1">
      <alignment/>
    </xf>
    <xf numFmtId="0" fontId="62" fillId="0" borderId="0" xfId="0" applyFont="1" applyBorder="1" applyAlignment="1">
      <alignment/>
    </xf>
    <xf numFmtId="0" fontId="62" fillId="0" borderId="15" xfId="0" applyFont="1" applyBorder="1" applyAlignment="1">
      <alignment/>
    </xf>
    <xf numFmtId="168" fontId="64" fillId="0" borderId="28" xfId="42" applyNumberFormat="1" applyFont="1" applyBorder="1" applyAlignment="1">
      <alignment/>
    </xf>
    <xf numFmtId="168" fontId="64" fillId="0" borderId="29" xfId="42" applyNumberFormat="1" applyFont="1" applyBorder="1" applyAlignment="1">
      <alignment/>
    </xf>
    <xf numFmtId="168" fontId="64" fillId="37" borderId="28" xfId="42" applyNumberFormat="1" applyFont="1" applyFill="1" applyBorder="1" applyAlignment="1">
      <alignment/>
    </xf>
    <xf numFmtId="168" fontId="64" fillId="37" borderId="29" xfId="42" applyNumberFormat="1" applyFont="1" applyFill="1" applyBorder="1" applyAlignment="1">
      <alignment/>
    </xf>
    <xf numFmtId="0" fontId="66" fillId="0" borderId="30" xfId="0" applyFont="1" applyBorder="1" applyAlignment="1">
      <alignment/>
    </xf>
    <xf numFmtId="0" fontId="66" fillId="37" borderId="30" xfId="0" applyFont="1" applyFill="1" applyBorder="1" applyAlignment="1">
      <alignment/>
    </xf>
    <xf numFmtId="0" fontId="66" fillId="37" borderId="31" xfId="0" applyFont="1" applyFill="1" applyBorder="1" applyAlignment="1">
      <alignment wrapText="1"/>
    </xf>
    <xf numFmtId="43" fontId="67" fillId="0" borderId="30" xfId="0" applyNumberFormat="1" applyFont="1" applyBorder="1" applyAlignment="1">
      <alignment horizontal="right"/>
    </xf>
    <xf numFmtId="43" fontId="67" fillId="37" borderId="30" xfId="0" applyNumberFormat="1" applyFont="1" applyFill="1" applyBorder="1" applyAlignment="1">
      <alignment horizontal="right"/>
    </xf>
    <xf numFmtId="0" fontId="5" fillId="37" borderId="31" xfId="0" applyFont="1" applyFill="1" applyBorder="1" applyAlignment="1">
      <alignment/>
    </xf>
    <xf numFmtId="0" fontId="66" fillId="37" borderId="32" xfId="0" applyFont="1" applyFill="1" applyBorder="1" applyAlignment="1">
      <alignment textRotation="78" wrapText="1"/>
    </xf>
    <xf numFmtId="0" fontId="67" fillId="37" borderId="32" xfId="0" applyFont="1" applyFill="1" applyBorder="1" applyAlignment="1">
      <alignment horizontal="right" textRotation="75" wrapText="1"/>
    </xf>
    <xf numFmtId="44" fontId="67" fillId="0" borderId="30" xfId="44" applyFont="1" applyBorder="1" applyAlignment="1">
      <alignment horizontal="right"/>
    </xf>
    <xf numFmtId="44" fontId="67" fillId="37" borderId="30" xfId="44" applyFont="1" applyFill="1" applyBorder="1" applyAlignment="1">
      <alignment horizontal="right"/>
    </xf>
    <xf numFmtId="0" fontId="85" fillId="0" borderId="0" xfId="0" applyFont="1" applyAlignment="1">
      <alignment wrapText="1"/>
    </xf>
    <xf numFmtId="181" fontId="13" fillId="0" borderId="0" xfId="44" applyNumberFormat="1" applyFont="1" applyAlignment="1">
      <alignment/>
    </xf>
    <xf numFmtId="0" fontId="13" fillId="37" borderId="33" xfId="0" applyFont="1" applyFill="1" applyBorder="1" applyAlignment="1">
      <alignment horizontal="right"/>
    </xf>
    <xf numFmtId="44" fontId="13" fillId="37" borderId="34" xfId="44" applyFont="1" applyFill="1" applyBorder="1" applyAlignment="1">
      <alignment/>
    </xf>
    <xf numFmtId="0" fontId="13" fillId="37" borderId="28" xfId="0" applyFont="1" applyFill="1" applyBorder="1" applyAlignment="1">
      <alignment horizontal="right"/>
    </xf>
    <xf numFmtId="44" fontId="13" fillId="37" borderId="29" xfId="44" applyFont="1" applyFill="1" applyBorder="1" applyAlignment="1">
      <alignment/>
    </xf>
    <xf numFmtId="0" fontId="86" fillId="37" borderId="28" xfId="0" applyFont="1" applyFill="1" applyBorder="1" applyAlignment="1">
      <alignment horizontal="right"/>
    </xf>
    <xf numFmtId="0" fontId="86" fillId="37" borderId="29" xfId="0" applyFont="1" applyFill="1" applyBorder="1" applyAlignment="1" applyProtection="1">
      <alignment/>
      <protection locked="0"/>
    </xf>
    <xf numFmtId="0" fontId="13" fillId="37" borderId="29" xfId="0" applyFont="1" applyFill="1" applyBorder="1" applyAlignment="1" applyProtection="1">
      <alignment/>
      <protection locked="0"/>
    </xf>
    <xf numFmtId="0" fontId="13" fillId="37" borderId="35" xfId="0" applyFont="1" applyFill="1" applyBorder="1" applyAlignment="1">
      <alignment horizontal="right"/>
    </xf>
    <xf numFmtId="44" fontId="13" fillId="37" borderId="36" xfId="44" applyFont="1" applyFill="1" applyBorder="1" applyAlignment="1">
      <alignment/>
    </xf>
    <xf numFmtId="0" fontId="0" fillId="0" borderId="0" xfId="0" applyFont="1" applyAlignment="1">
      <alignment/>
    </xf>
    <xf numFmtId="0" fontId="87" fillId="0" borderId="0" xfId="0" applyFont="1" applyAlignment="1">
      <alignment/>
    </xf>
    <xf numFmtId="0" fontId="68" fillId="0" borderId="0" xfId="0" applyFont="1" applyAlignment="1">
      <alignment horizontal="right" wrapText="1"/>
    </xf>
    <xf numFmtId="0" fontId="0" fillId="0" borderId="10" xfId="0" applyBorder="1" applyAlignment="1">
      <alignment/>
    </xf>
    <xf numFmtId="0" fontId="92" fillId="0" borderId="37" xfId="0" applyFont="1" applyBorder="1" applyAlignment="1">
      <alignment/>
    </xf>
    <xf numFmtId="0" fontId="0" fillId="0" borderId="38" xfId="0" applyBorder="1" applyAlignment="1">
      <alignment/>
    </xf>
    <xf numFmtId="0" fontId="0" fillId="0" borderId="37" xfId="0" applyBorder="1" applyAlignment="1">
      <alignment/>
    </xf>
    <xf numFmtId="0" fontId="8" fillId="0" borderId="37" xfId="0" applyFont="1" applyBorder="1" applyAlignment="1">
      <alignment horizontal="right"/>
    </xf>
    <xf numFmtId="0" fontId="15" fillId="0" borderId="37" xfId="0" applyFont="1" applyBorder="1" applyAlignment="1">
      <alignment horizontal="right"/>
    </xf>
    <xf numFmtId="0" fontId="13" fillId="0" borderId="37" xfId="0" applyFont="1" applyBorder="1" applyAlignment="1">
      <alignment horizontal="right"/>
    </xf>
    <xf numFmtId="0" fontId="0" fillId="0" borderId="13" xfId="0" applyBorder="1" applyAlignment="1">
      <alignment/>
    </xf>
    <xf numFmtId="0" fontId="0" fillId="0" borderId="18" xfId="0" applyBorder="1" applyAlignment="1">
      <alignment/>
    </xf>
    <xf numFmtId="0" fontId="0" fillId="0" borderId="19" xfId="0" applyBorder="1" applyAlignment="1">
      <alignment/>
    </xf>
    <xf numFmtId="0" fontId="91" fillId="0" borderId="0" xfId="0" applyFont="1" applyBorder="1" applyAlignment="1">
      <alignment/>
    </xf>
    <xf numFmtId="0" fontId="11" fillId="0" borderId="14" xfId="0" applyFont="1" applyBorder="1" applyAlignment="1">
      <alignment horizontal="right"/>
    </xf>
    <xf numFmtId="0" fontId="11" fillId="0" borderId="16" xfId="0" applyFont="1" applyBorder="1" applyAlignment="1">
      <alignment horizontal="right"/>
    </xf>
    <xf numFmtId="0" fontId="0" fillId="0" borderId="17" xfId="0" applyBorder="1" applyAlignment="1">
      <alignment/>
    </xf>
    <xf numFmtId="0" fontId="0" fillId="0" borderId="20" xfId="0" applyBorder="1" applyAlignment="1">
      <alignment/>
    </xf>
    <xf numFmtId="0" fontId="13" fillId="0" borderId="38" xfId="0" applyFont="1" applyBorder="1" applyAlignment="1">
      <alignment horizontal="right"/>
    </xf>
    <xf numFmtId="0" fontId="19" fillId="0" borderId="38" xfId="0" applyFont="1" applyBorder="1" applyAlignment="1">
      <alignment horizontal="right"/>
    </xf>
    <xf numFmtId="0" fontId="92" fillId="0" borderId="13" xfId="0" applyFont="1" applyBorder="1" applyAlignment="1">
      <alignment/>
    </xf>
    <xf numFmtId="0" fontId="13" fillId="0" borderId="18" xfId="0" applyFont="1" applyBorder="1" applyAlignment="1">
      <alignment horizontal="right"/>
    </xf>
    <xf numFmtId="0" fontId="0" fillId="0" borderId="39" xfId="0" applyBorder="1" applyAlignment="1">
      <alignment/>
    </xf>
    <xf numFmtId="0" fontId="0" fillId="0" borderId="40" xfId="0" applyBorder="1" applyAlignment="1">
      <alignment/>
    </xf>
    <xf numFmtId="0" fontId="13" fillId="0" borderId="16" xfId="0" applyFont="1" applyBorder="1" applyAlignment="1">
      <alignment horizontal="right"/>
    </xf>
    <xf numFmtId="0" fontId="19" fillId="0" borderId="17" xfId="0" applyFont="1" applyBorder="1" applyAlignment="1">
      <alignment horizontal="right"/>
    </xf>
    <xf numFmtId="0" fontId="19" fillId="0" borderId="38" xfId="0" applyFont="1" applyBorder="1" applyAlignment="1">
      <alignment horizontal="center"/>
    </xf>
    <xf numFmtId="0" fontId="90" fillId="0" borderId="38" xfId="0" applyFont="1" applyBorder="1" applyAlignment="1">
      <alignment horizontal="center" wrapText="1"/>
    </xf>
    <xf numFmtId="0" fontId="89" fillId="0" borderId="40" xfId="0" applyFont="1" applyBorder="1" applyAlignment="1">
      <alignment horizontal="center" wrapText="1"/>
    </xf>
    <xf numFmtId="168" fontId="17" fillId="0" borderId="0" xfId="42" applyNumberFormat="1" applyFont="1" applyAlignment="1">
      <alignment/>
    </xf>
    <xf numFmtId="9" fontId="12" fillId="0" borderId="0" xfId="59" applyFont="1" applyBorder="1" applyAlignment="1">
      <alignment/>
    </xf>
    <xf numFmtId="169" fontId="14" fillId="0" borderId="0" xfId="42" applyNumberFormat="1" applyFont="1" applyBorder="1" applyAlignment="1">
      <alignment/>
    </xf>
    <xf numFmtId="9" fontId="14" fillId="0" borderId="0" xfId="59" applyFont="1" applyBorder="1" applyAlignment="1">
      <alignment/>
    </xf>
    <xf numFmtId="9" fontId="16" fillId="0" borderId="0" xfId="59" applyFont="1" applyBorder="1" applyAlignment="1">
      <alignment/>
    </xf>
    <xf numFmtId="9" fontId="0" fillId="0" borderId="0" xfId="59" applyFont="1" applyBorder="1" applyAlignment="1">
      <alignment/>
    </xf>
    <xf numFmtId="168" fontId="3" fillId="0" borderId="0" xfId="42" applyNumberFormat="1" applyFont="1" applyAlignment="1">
      <alignment horizontal="right"/>
    </xf>
    <xf numFmtId="168" fontId="95" fillId="0" borderId="0" xfId="42" applyNumberFormat="1" applyFont="1" applyAlignment="1">
      <alignment/>
    </xf>
    <xf numFmtId="0" fontId="0" fillId="0" borderId="0" xfId="0" applyAlignment="1">
      <alignment horizontal="right"/>
    </xf>
    <xf numFmtId="0" fontId="96" fillId="0" borderId="0" xfId="0" applyFont="1" applyAlignment="1">
      <alignment horizontal="right"/>
    </xf>
    <xf numFmtId="0" fontId="97" fillId="0" borderId="0" xfId="0" applyFont="1" applyAlignment="1">
      <alignment horizontal="center"/>
    </xf>
    <xf numFmtId="187" fontId="0" fillId="0" borderId="0" xfId="0" applyNumberFormat="1" applyBorder="1" applyAlignment="1">
      <alignment/>
    </xf>
    <xf numFmtId="187" fontId="0" fillId="0" borderId="15" xfId="0" applyNumberFormat="1" applyBorder="1" applyAlignment="1">
      <alignment/>
    </xf>
    <xf numFmtId="0" fontId="15" fillId="0" borderId="0" xfId="0" applyFont="1" applyBorder="1" applyAlignment="1">
      <alignment horizontal="right"/>
    </xf>
    <xf numFmtId="0" fontId="8" fillId="0" borderId="0" xfId="0" applyFont="1" applyBorder="1" applyAlignment="1">
      <alignment horizontal="right"/>
    </xf>
    <xf numFmtId="9" fontId="0" fillId="0" borderId="15" xfId="59" applyFont="1" applyBorder="1" applyAlignment="1">
      <alignment/>
    </xf>
    <xf numFmtId="44" fontId="96" fillId="0" borderId="0" xfId="44" applyFont="1" applyBorder="1" applyAlignment="1">
      <alignment/>
    </xf>
    <xf numFmtId="44" fontId="96" fillId="0" borderId="15" xfId="44" applyFont="1" applyBorder="1" applyAlignment="1">
      <alignment/>
    </xf>
    <xf numFmtId="44" fontId="14" fillId="0" borderId="0" xfId="44" applyFont="1" applyBorder="1" applyAlignment="1">
      <alignment/>
    </xf>
    <xf numFmtId="44" fontId="14" fillId="0" borderId="15" xfId="44" applyFont="1" applyBorder="1" applyAlignment="1">
      <alignment/>
    </xf>
    <xf numFmtId="0" fontId="12" fillId="35" borderId="0" xfId="0" applyFont="1" applyFill="1" applyBorder="1" applyAlignment="1">
      <alignment/>
    </xf>
    <xf numFmtId="0" fontId="12" fillId="35" borderId="15" xfId="0" applyFont="1" applyFill="1" applyBorder="1" applyAlignment="1">
      <alignment/>
    </xf>
    <xf numFmtId="169" fontId="14" fillId="37" borderId="0" xfId="42" applyNumberFormat="1" applyFont="1" applyFill="1" applyBorder="1" applyAlignment="1">
      <alignment/>
    </xf>
    <xf numFmtId="169" fontId="14" fillId="37" borderId="15" xfId="42" applyNumberFormat="1" applyFont="1" applyFill="1" applyBorder="1" applyAlignment="1">
      <alignment/>
    </xf>
    <xf numFmtId="9" fontId="99" fillId="0" borderId="0" xfId="59" applyFont="1" applyBorder="1" applyAlignment="1">
      <alignment/>
    </xf>
    <xf numFmtId="9" fontId="99" fillId="0" borderId="15" xfId="59" applyFont="1" applyBorder="1" applyAlignment="1">
      <alignment/>
    </xf>
    <xf numFmtId="0" fontId="3" fillId="0" borderId="10" xfId="0" applyFont="1" applyFill="1" applyBorder="1" applyAlignment="1">
      <alignment/>
    </xf>
    <xf numFmtId="0" fontId="101" fillId="0" borderId="0" xfId="0" applyFont="1" applyAlignment="1">
      <alignment/>
    </xf>
    <xf numFmtId="0" fontId="79" fillId="38" borderId="0" xfId="0" applyFont="1" applyFill="1" applyAlignment="1">
      <alignment/>
    </xf>
    <xf numFmtId="43" fontId="79" fillId="38" borderId="0" xfId="42" applyNumberFormat="1" applyFont="1" applyFill="1" applyAlignment="1">
      <alignment/>
    </xf>
    <xf numFmtId="0" fontId="72" fillId="38" borderId="0" xfId="0" applyFont="1" applyFill="1" applyAlignment="1">
      <alignment/>
    </xf>
    <xf numFmtId="0" fontId="21" fillId="38" borderId="13" xfId="0" applyFont="1" applyFill="1" applyBorder="1" applyAlignment="1">
      <alignment/>
    </xf>
    <xf numFmtId="0" fontId="75" fillId="38" borderId="18" xfId="0" applyFont="1" applyFill="1" applyBorder="1" applyAlignment="1">
      <alignment/>
    </xf>
    <xf numFmtId="0" fontId="75" fillId="38" borderId="14" xfId="0" applyFont="1" applyFill="1" applyBorder="1" applyAlignment="1">
      <alignment/>
    </xf>
    <xf numFmtId="0" fontId="75" fillId="38" borderId="0" xfId="0" applyFont="1" applyFill="1" applyBorder="1" applyAlignment="1">
      <alignment/>
    </xf>
    <xf numFmtId="0" fontId="80" fillId="38" borderId="14" xfId="0" applyFont="1" applyFill="1" applyBorder="1" applyAlignment="1">
      <alignment horizontal="right"/>
    </xf>
    <xf numFmtId="44" fontId="81" fillId="38" borderId="0" xfId="44" applyFont="1" applyFill="1" applyBorder="1" applyAlignment="1" applyProtection="1">
      <alignment/>
      <protection locked="0"/>
    </xf>
    <xf numFmtId="0" fontId="73" fillId="38" borderId="0" xfId="0" applyFont="1" applyFill="1" applyBorder="1" applyAlignment="1">
      <alignment/>
    </xf>
    <xf numFmtId="0" fontId="72" fillId="38" borderId="14" xfId="0" applyFont="1" applyFill="1" applyBorder="1" applyAlignment="1">
      <alignment/>
    </xf>
    <xf numFmtId="0" fontId="72" fillId="38" borderId="0" xfId="0" applyFont="1" applyFill="1" applyBorder="1" applyAlignment="1">
      <alignment/>
    </xf>
    <xf numFmtId="9" fontId="81" fillId="38" borderId="0" xfId="59" applyFont="1" applyFill="1" applyBorder="1" applyAlignment="1" applyProtection="1">
      <alignment/>
      <protection locked="0"/>
    </xf>
    <xf numFmtId="0" fontId="73" fillId="38" borderId="14" xfId="0" applyFont="1" applyFill="1" applyBorder="1" applyAlignment="1">
      <alignment horizontal="right"/>
    </xf>
    <xf numFmtId="0" fontId="82" fillId="38" borderId="14" xfId="0" applyFont="1" applyFill="1" applyBorder="1" applyAlignment="1">
      <alignment horizontal="right"/>
    </xf>
    <xf numFmtId="44" fontId="83" fillId="38" borderId="0" xfId="0" applyNumberFormat="1" applyFont="1" applyFill="1" applyBorder="1" applyAlignment="1">
      <alignment/>
    </xf>
    <xf numFmtId="9" fontId="83" fillId="38" borderId="0" xfId="59" applyFont="1" applyFill="1" applyBorder="1" applyAlignment="1">
      <alignment/>
    </xf>
    <xf numFmtId="0" fontId="83" fillId="38" borderId="0" xfId="0" applyFont="1" applyFill="1" applyBorder="1" applyAlignment="1">
      <alignment/>
    </xf>
    <xf numFmtId="0" fontId="76" fillId="38" borderId="14" xfId="0" applyFont="1" applyFill="1" applyBorder="1" applyAlignment="1">
      <alignment horizontal="right"/>
    </xf>
    <xf numFmtId="0" fontId="76" fillId="38" borderId="0" xfId="0" applyFont="1" applyFill="1" applyBorder="1" applyAlignment="1" applyProtection="1">
      <alignment/>
      <protection locked="0"/>
    </xf>
    <xf numFmtId="44" fontId="76" fillId="38" borderId="0" xfId="44" applyFont="1" applyFill="1" applyBorder="1" applyAlignment="1">
      <alignment/>
    </xf>
    <xf numFmtId="0" fontId="74" fillId="38" borderId="0" xfId="0" applyFont="1" applyFill="1" applyBorder="1" applyAlignment="1" applyProtection="1">
      <alignment/>
      <protection locked="0"/>
    </xf>
    <xf numFmtId="0" fontId="74" fillId="38" borderId="0" xfId="0" applyFont="1" applyFill="1" applyBorder="1" applyAlignment="1">
      <alignment/>
    </xf>
    <xf numFmtId="0" fontId="74" fillId="38" borderId="0" xfId="0" applyFont="1" applyFill="1" applyAlignment="1">
      <alignment/>
    </xf>
    <xf numFmtId="0" fontId="77" fillId="38" borderId="14" xfId="0" applyFont="1" applyFill="1" applyBorder="1" applyAlignment="1">
      <alignment/>
    </xf>
    <xf numFmtId="0" fontId="71" fillId="38" borderId="0" xfId="0" applyFont="1" applyFill="1" applyBorder="1" applyAlignment="1">
      <alignment/>
    </xf>
    <xf numFmtId="0" fontId="71" fillId="38" borderId="0" xfId="0" applyFont="1" applyFill="1" applyAlignment="1">
      <alignment/>
    </xf>
    <xf numFmtId="0" fontId="71" fillId="38" borderId="14" xfId="0" applyFont="1" applyFill="1" applyBorder="1" applyAlignment="1">
      <alignment horizontal="right"/>
    </xf>
    <xf numFmtId="44" fontId="71" fillId="38" borderId="0" xfId="44" applyNumberFormat="1" applyFont="1" applyFill="1" applyBorder="1" applyAlignment="1">
      <alignment/>
    </xf>
    <xf numFmtId="181" fontId="71" fillId="38" borderId="0" xfId="44" applyNumberFormat="1" applyFont="1" applyFill="1" applyBorder="1" applyAlignment="1">
      <alignment/>
    </xf>
    <xf numFmtId="0" fontId="71" fillId="38" borderId="14" xfId="0" applyFont="1" applyFill="1" applyBorder="1" applyAlignment="1">
      <alignment/>
    </xf>
    <xf numFmtId="0" fontId="77" fillId="38" borderId="0" xfId="0" applyFont="1" applyFill="1" applyBorder="1" applyAlignment="1">
      <alignment/>
    </xf>
    <xf numFmtId="0" fontId="77" fillId="38" borderId="0" xfId="0" applyFont="1" applyFill="1" applyAlignment="1">
      <alignment/>
    </xf>
    <xf numFmtId="0" fontId="74" fillId="38" borderId="14" xfId="0" applyFont="1" applyFill="1" applyBorder="1" applyAlignment="1">
      <alignment horizontal="right"/>
    </xf>
    <xf numFmtId="0" fontId="78" fillId="38" borderId="0" xfId="0" applyFont="1" applyFill="1" applyBorder="1" applyAlignment="1">
      <alignment/>
    </xf>
    <xf numFmtId="44" fontId="74" fillId="38" borderId="0" xfId="0" applyNumberFormat="1" applyFont="1" applyFill="1" applyBorder="1" applyAlignment="1">
      <alignment/>
    </xf>
    <xf numFmtId="44" fontId="0" fillId="0" borderId="0" xfId="44" applyFont="1" applyBorder="1" applyAlignment="1">
      <alignment/>
    </xf>
    <xf numFmtId="44" fontId="0" fillId="0" borderId="15" xfId="44" applyFont="1" applyBorder="1" applyAlignment="1">
      <alignment/>
    </xf>
    <xf numFmtId="9" fontId="12" fillId="35" borderId="0" xfId="59" applyFont="1" applyFill="1" applyBorder="1" applyAlignment="1">
      <alignment/>
    </xf>
    <xf numFmtId="9" fontId="12" fillId="35" borderId="15" xfId="59" applyFont="1" applyFill="1" applyBorder="1" applyAlignment="1">
      <alignment/>
    </xf>
    <xf numFmtId="9" fontId="14" fillId="37" borderId="0" xfId="59" applyFont="1" applyFill="1" applyBorder="1" applyAlignment="1">
      <alignment/>
    </xf>
    <xf numFmtId="9" fontId="14" fillId="37" borderId="15" xfId="59" applyFont="1" applyFill="1" applyBorder="1" applyAlignment="1">
      <alignment/>
    </xf>
    <xf numFmtId="181" fontId="0" fillId="0" borderId="0" xfId="44" applyNumberFormat="1" applyFont="1" applyBorder="1" applyAlignment="1">
      <alignment/>
    </xf>
    <xf numFmtId="181" fontId="0" fillId="0" borderId="15" xfId="44" applyNumberFormat="1" applyFont="1" applyBorder="1" applyAlignment="1">
      <alignment/>
    </xf>
    <xf numFmtId="44" fontId="14" fillId="37" borderId="17" xfId="59" applyNumberFormat="1" applyFont="1" applyFill="1" applyBorder="1" applyAlignment="1">
      <alignment/>
    </xf>
    <xf numFmtId="44" fontId="14" fillId="37" borderId="20" xfId="59" applyNumberFormat="1" applyFont="1" applyFill="1" applyBorder="1" applyAlignment="1">
      <alignment/>
    </xf>
    <xf numFmtId="169" fontId="12" fillId="0" borderId="0" xfId="42" applyNumberFormat="1" applyFont="1" applyFill="1" applyBorder="1" applyAlignment="1">
      <alignment/>
    </xf>
    <xf numFmtId="169" fontId="12" fillId="0" borderId="15" xfId="42" applyNumberFormat="1" applyFont="1" applyFill="1" applyBorder="1" applyAlignment="1">
      <alignment/>
    </xf>
    <xf numFmtId="169" fontId="16" fillId="37" borderId="0" xfId="42" applyNumberFormat="1" applyFont="1" applyFill="1" applyBorder="1" applyAlignment="1">
      <alignment/>
    </xf>
    <xf numFmtId="169" fontId="14" fillId="0" borderId="0" xfId="42" applyNumberFormat="1" applyFont="1" applyFill="1" applyBorder="1" applyAlignment="1">
      <alignment/>
    </xf>
    <xf numFmtId="169" fontId="14" fillId="0" borderId="15" xfId="42" applyNumberFormat="1" applyFont="1" applyFill="1" applyBorder="1" applyAlignment="1">
      <alignment/>
    </xf>
    <xf numFmtId="9" fontId="14" fillId="0" borderId="0" xfId="59" applyFont="1" applyFill="1" applyBorder="1" applyAlignment="1">
      <alignment/>
    </xf>
    <xf numFmtId="9" fontId="16" fillId="37" borderId="0" xfId="59" applyFont="1" applyFill="1" applyBorder="1" applyAlignment="1">
      <alignment/>
    </xf>
    <xf numFmtId="9" fontId="16" fillId="37" borderId="15" xfId="59" applyFont="1" applyFill="1" applyBorder="1" applyAlignment="1">
      <alignment/>
    </xf>
    <xf numFmtId="0" fontId="105" fillId="37" borderId="13" xfId="0" applyFont="1" applyFill="1" applyBorder="1" applyAlignment="1">
      <alignment horizontal="right"/>
    </xf>
    <xf numFmtId="44" fontId="106" fillId="37" borderId="18" xfId="59" applyNumberFormat="1" applyFont="1" applyFill="1" applyBorder="1" applyAlignment="1">
      <alignment/>
    </xf>
    <xf numFmtId="44" fontId="106" fillId="37" borderId="19" xfId="59" applyNumberFormat="1" applyFont="1" applyFill="1" applyBorder="1" applyAlignment="1">
      <alignment/>
    </xf>
    <xf numFmtId="0" fontId="105" fillId="37" borderId="16" xfId="0" applyFont="1" applyFill="1" applyBorder="1" applyAlignment="1">
      <alignment horizontal="right"/>
    </xf>
    <xf numFmtId="9" fontId="104" fillId="37" borderId="17" xfId="59" applyFont="1" applyFill="1" applyBorder="1" applyAlignment="1">
      <alignment/>
    </xf>
    <xf numFmtId="9" fontId="104" fillId="37" borderId="20" xfId="59" applyFont="1" applyFill="1" applyBorder="1" applyAlignment="1">
      <alignment/>
    </xf>
    <xf numFmtId="9" fontId="0" fillId="0" borderId="0" xfId="59" applyFont="1" applyBorder="1" applyAlignment="1">
      <alignment/>
    </xf>
    <xf numFmtId="168" fontId="98" fillId="0" borderId="0" xfId="42" applyNumberFormat="1" applyFont="1" applyBorder="1" applyAlignment="1">
      <alignment wrapText="1"/>
    </xf>
    <xf numFmtId="0" fontId="9" fillId="0" borderId="14" xfId="0" applyFont="1" applyBorder="1" applyAlignment="1">
      <alignment horizontal="right"/>
    </xf>
    <xf numFmtId="0" fontId="0" fillId="0" borderId="14" xfId="0" applyBorder="1" applyAlignment="1">
      <alignment horizontal="right"/>
    </xf>
    <xf numFmtId="0" fontId="11" fillId="35" borderId="14" xfId="0" applyFont="1" applyFill="1" applyBorder="1" applyAlignment="1">
      <alignment horizontal="right"/>
    </xf>
    <xf numFmtId="0" fontId="13" fillId="37" borderId="14" xfId="0" applyFont="1" applyFill="1" applyBorder="1" applyAlignment="1">
      <alignment horizontal="right"/>
    </xf>
    <xf numFmtId="0" fontId="15" fillId="0" borderId="14" xfId="0" applyFont="1" applyBorder="1" applyAlignment="1">
      <alignment horizontal="right"/>
    </xf>
    <xf numFmtId="0" fontId="61" fillId="0" borderId="14" xfId="0" applyFont="1" applyBorder="1" applyAlignment="1">
      <alignment horizontal="right"/>
    </xf>
    <xf numFmtId="0" fontId="13" fillId="0" borderId="14" xfId="0" applyFont="1" applyBorder="1" applyAlignment="1">
      <alignment horizontal="right"/>
    </xf>
    <xf numFmtId="0" fontId="13" fillId="37" borderId="16" xfId="0" applyFont="1" applyFill="1" applyBorder="1" applyAlignment="1">
      <alignment horizontal="right"/>
    </xf>
    <xf numFmtId="0" fontId="24" fillId="0" borderId="0" xfId="0" applyFont="1" applyBorder="1" applyAlignment="1">
      <alignment horizontal="center"/>
    </xf>
    <xf numFmtId="0" fontId="24" fillId="0" borderId="15" xfId="0" applyFont="1" applyBorder="1" applyAlignment="1">
      <alignment horizontal="center"/>
    </xf>
    <xf numFmtId="168" fontId="100" fillId="0" borderId="0" xfId="42" applyNumberFormat="1" applyFont="1" applyBorder="1" applyAlignment="1">
      <alignment wrapText="1"/>
    </xf>
    <xf numFmtId="0" fontId="15" fillId="0" borderId="14" xfId="0" applyFont="1" applyFill="1" applyBorder="1" applyAlignment="1">
      <alignment horizontal="right"/>
    </xf>
    <xf numFmtId="0" fontId="13" fillId="0" borderId="14" xfId="0" applyFont="1" applyFill="1" applyBorder="1" applyAlignment="1">
      <alignment horizontal="right"/>
    </xf>
    <xf numFmtId="9" fontId="14" fillId="0" borderId="15" xfId="59" applyFont="1" applyFill="1" applyBorder="1" applyAlignment="1">
      <alignment/>
    </xf>
    <xf numFmtId="0" fontId="15" fillId="37" borderId="14" xfId="0" applyFont="1" applyFill="1" applyBorder="1" applyAlignment="1">
      <alignment horizontal="right"/>
    </xf>
    <xf numFmtId="169" fontId="16" fillId="37" borderId="15" xfId="42" applyNumberFormat="1" applyFont="1" applyFill="1" applyBorder="1" applyAlignment="1">
      <alignment/>
    </xf>
    <xf numFmtId="9" fontId="0" fillId="0" borderId="15" xfId="59" applyFont="1" applyBorder="1" applyAlignment="1">
      <alignment/>
    </xf>
    <xf numFmtId="0" fontId="104" fillId="0" borderId="14" xfId="0" applyFont="1" applyBorder="1" applyAlignment="1">
      <alignment/>
    </xf>
    <xf numFmtId="0" fontId="104" fillId="0" borderId="0" xfId="0" applyFont="1" applyBorder="1" applyAlignment="1">
      <alignment/>
    </xf>
    <xf numFmtId="0" fontId="104" fillId="0" borderId="15" xfId="0" applyFont="1" applyBorder="1" applyAlignment="1">
      <alignment/>
    </xf>
    <xf numFmtId="44" fontId="65" fillId="37" borderId="17" xfId="59" applyNumberFormat="1" applyFont="1" applyFill="1" applyBorder="1" applyAlignment="1">
      <alignment/>
    </xf>
    <xf numFmtId="44" fontId="65" fillId="37" borderId="20" xfId="59" applyNumberFormat="1" applyFont="1" applyFill="1" applyBorder="1" applyAlignment="1">
      <alignment/>
    </xf>
    <xf numFmtId="0" fontId="4" fillId="36" borderId="18" xfId="0" applyFont="1" applyFill="1" applyBorder="1" applyAlignment="1">
      <alignment/>
    </xf>
    <xf numFmtId="0" fontId="4" fillId="36" borderId="19" xfId="0" applyFont="1" applyFill="1" applyBorder="1" applyAlignment="1">
      <alignment/>
    </xf>
    <xf numFmtId="0" fontId="75" fillId="36" borderId="15" xfId="0" applyFont="1" applyFill="1" applyBorder="1" applyAlignment="1">
      <alignment/>
    </xf>
    <xf numFmtId="171" fontId="34" fillId="36" borderId="0" xfId="44" applyNumberFormat="1" applyFont="1" applyFill="1" applyBorder="1" applyAlignment="1">
      <alignment/>
    </xf>
    <xf numFmtId="171" fontId="34" fillId="36" borderId="0" xfId="0" applyNumberFormat="1" applyFont="1" applyFill="1" applyBorder="1" applyAlignment="1">
      <alignment/>
    </xf>
    <xf numFmtId="172" fontId="70" fillId="36" borderId="0" xfId="0" applyNumberFormat="1" applyFont="1" applyFill="1" applyBorder="1" applyAlignment="1">
      <alignment horizontal="center"/>
    </xf>
    <xf numFmtId="0" fontId="4" fillId="36" borderId="14" xfId="0" applyFont="1" applyFill="1" applyBorder="1" applyAlignment="1">
      <alignment/>
    </xf>
    <xf numFmtId="0" fontId="4" fillId="36" borderId="15" xfId="0" applyFont="1" applyFill="1" applyBorder="1" applyAlignment="1">
      <alignment/>
    </xf>
    <xf numFmtId="0" fontId="47" fillId="36" borderId="0" xfId="0" applyFont="1" applyFill="1" applyBorder="1" applyAlignment="1" applyProtection="1">
      <alignment/>
      <protection locked="0"/>
    </xf>
    <xf numFmtId="44" fontId="39" fillId="36" borderId="0" xfId="0" applyNumberFormat="1" applyFont="1" applyFill="1" applyBorder="1" applyAlignment="1">
      <alignment horizontal="center"/>
    </xf>
    <xf numFmtId="181" fontId="47" fillId="36" borderId="0" xfId="44" applyNumberFormat="1" applyFont="1" applyFill="1" applyBorder="1" applyAlignment="1" applyProtection="1">
      <alignment/>
      <protection locked="0"/>
    </xf>
    <xf numFmtId="0" fontId="70" fillId="36" borderId="0" xfId="0" applyFont="1" applyFill="1" applyBorder="1" applyAlignment="1">
      <alignment/>
    </xf>
    <xf numFmtId="0" fontId="84" fillId="36" borderId="15" xfId="0" applyFont="1" applyFill="1" applyBorder="1" applyAlignment="1">
      <alignment/>
    </xf>
    <xf numFmtId="0" fontId="34" fillId="36" borderId="0" xfId="0" applyFont="1" applyFill="1" applyBorder="1" applyAlignment="1">
      <alignment/>
    </xf>
    <xf numFmtId="44" fontId="24" fillId="36" borderId="0" xfId="0" applyNumberFormat="1" applyFont="1" applyFill="1" applyBorder="1" applyAlignment="1">
      <alignment/>
    </xf>
    <xf numFmtId="0" fontId="84" fillId="36" borderId="14" xfId="0" applyFont="1" applyFill="1" applyBorder="1" applyAlignment="1">
      <alignment/>
    </xf>
    <xf numFmtId="0" fontId="39" fillId="36" borderId="0" xfId="0" applyFont="1" applyFill="1" applyBorder="1" applyAlignment="1">
      <alignment horizontal="center"/>
    </xf>
    <xf numFmtId="0" fontId="0" fillId="36" borderId="0" xfId="0" applyFont="1" applyFill="1" applyAlignment="1">
      <alignment/>
    </xf>
    <xf numFmtId="0" fontId="30" fillId="36" borderId="14" xfId="0" applyFont="1" applyFill="1" applyBorder="1" applyAlignment="1">
      <alignment/>
    </xf>
    <xf numFmtId="0" fontId="30" fillId="36" borderId="0" xfId="0" applyFont="1" applyFill="1" applyBorder="1" applyAlignment="1">
      <alignment horizontal="center"/>
    </xf>
    <xf numFmtId="0" fontId="22" fillId="36" borderId="14" xfId="0" applyFont="1" applyFill="1" applyBorder="1" applyAlignment="1">
      <alignment horizontal="right"/>
    </xf>
    <xf numFmtId="170" fontId="23" fillId="36" borderId="0" xfId="44" applyNumberFormat="1" applyFont="1" applyFill="1" applyBorder="1" applyAlignment="1" applyProtection="1">
      <alignment/>
      <protection locked="0"/>
    </xf>
    <xf numFmtId="171" fontId="5" fillId="36" borderId="0" xfId="0" applyNumberFormat="1" applyFont="1" applyFill="1" applyBorder="1" applyAlignment="1">
      <alignment/>
    </xf>
    <xf numFmtId="171" fontId="5" fillId="36" borderId="0" xfId="0" applyNumberFormat="1" applyFont="1" applyFill="1" applyBorder="1" applyAlignment="1">
      <alignment horizontal="center"/>
    </xf>
    <xf numFmtId="0" fontId="10" fillId="36" borderId="14" xfId="0" applyFont="1" applyFill="1" applyBorder="1" applyAlignment="1">
      <alignment horizontal="right"/>
    </xf>
    <xf numFmtId="171" fontId="31" fillId="36" borderId="0" xfId="44" applyNumberFormat="1" applyFont="1" applyFill="1" applyBorder="1" applyAlignment="1">
      <alignment/>
    </xf>
    <xf numFmtId="171" fontId="31" fillId="36" borderId="0" xfId="0" applyNumberFormat="1" applyFont="1" applyFill="1" applyBorder="1" applyAlignment="1">
      <alignment/>
    </xf>
    <xf numFmtId="172" fontId="5" fillId="36" borderId="0" xfId="0" applyNumberFormat="1" applyFont="1" applyFill="1" applyBorder="1" applyAlignment="1">
      <alignment horizontal="center"/>
    </xf>
    <xf numFmtId="44" fontId="30" fillId="36" borderId="0" xfId="44" applyFont="1" applyFill="1" applyBorder="1" applyAlignment="1">
      <alignment horizontal="center"/>
    </xf>
    <xf numFmtId="0" fontId="32" fillId="36" borderId="14" xfId="0" applyFont="1" applyFill="1" applyBorder="1" applyAlignment="1">
      <alignment horizontal="right"/>
    </xf>
    <xf numFmtId="3" fontId="23" fillId="36" borderId="0" xfId="44" applyNumberFormat="1" applyFont="1" applyFill="1" applyBorder="1" applyAlignment="1" applyProtection="1">
      <alignment/>
      <protection locked="0"/>
    </xf>
    <xf numFmtId="171" fontId="8" fillId="36" borderId="0" xfId="0" applyNumberFormat="1" applyFont="1" applyFill="1" applyBorder="1" applyAlignment="1">
      <alignment horizontal="center"/>
    </xf>
    <xf numFmtId="0" fontId="10" fillId="36" borderId="0" xfId="0" applyFont="1" applyFill="1" applyBorder="1" applyAlignment="1">
      <alignment horizontal="center"/>
    </xf>
    <xf numFmtId="0" fontId="23" fillId="36" borderId="0" xfId="0" applyFont="1" applyFill="1" applyBorder="1" applyAlignment="1" applyProtection="1">
      <alignment/>
      <protection locked="0"/>
    </xf>
    <xf numFmtId="0" fontId="33" fillId="36" borderId="15" xfId="0" applyFont="1" applyFill="1" applyBorder="1" applyAlignment="1">
      <alignment/>
    </xf>
    <xf numFmtId="44" fontId="23" fillId="36" borderId="15" xfId="44" applyFont="1" applyFill="1" applyBorder="1" applyAlignment="1" applyProtection="1">
      <alignment horizontal="center"/>
      <protection locked="0"/>
    </xf>
    <xf numFmtId="0" fontId="69" fillId="37" borderId="0" xfId="0" applyFont="1" applyFill="1" applyAlignment="1">
      <alignment/>
    </xf>
    <xf numFmtId="0" fontId="0" fillId="37" borderId="0" xfId="0" applyFill="1" applyAlignment="1">
      <alignment/>
    </xf>
    <xf numFmtId="0" fontId="21" fillId="37" borderId="13" xfId="0" applyFont="1" applyFill="1" applyBorder="1" applyAlignment="1">
      <alignment/>
    </xf>
    <xf numFmtId="0" fontId="4" fillId="37" borderId="18" xfId="0" applyFont="1" applyFill="1" applyBorder="1" applyAlignment="1">
      <alignment/>
    </xf>
    <xf numFmtId="0" fontId="4" fillId="37" borderId="19" xfId="0" applyFont="1" applyFill="1" applyBorder="1" applyAlignment="1">
      <alignment/>
    </xf>
    <xf numFmtId="0" fontId="30" fillId="37" borderId="14" xfId="0" applyFont="1" applyFill="1" applyBorder="1" applyAlignment="1">
      <alignment/>
    </xf>
    <xf numFmtId="0" fontId="30" fillId="37" borderId="0" xfId="0" applyFont="1" applyFill="1" applyBorder="1" applyAlignment="1">
      <alignment horizontal="center"/>
    </xf>
    <xf numFmtId="0" fontId="22" fillId="37" borderId="14" xfId="0" applyFont="1" applyFill="1" applyBorder="1" applyAlignment="1">
      <alignment horizontal="right"/>
    </xf>
    <xf numFmtId="170" fontId="23" fillId="37" borderId="0" xfId="44" applyNumberFormat="1" applyFont="1" applyFill="1" applyBorder="1" applyAlignment="1" applyProtection="1">
      <alignment/>
      <protection locked="0"/>
    </xf>
    <xf numFmtId="171" fontId="5" fillId="37" borderId="0" xfId="0" applyNumberFormat="1" applyFont="1" applyFill="1" applyBorder="1" applyAlignment="1">
      <alignment/>
    </xf>
    <xf numFmtId="171" fontId="5" fillId="37" borderId="0" xfId="0" applyNumberFormat="1" applyFont="1" applyFill="1" applyBorder="1" applyAlignment="1">
      <alignment horizontal="center"/>
    </xf>
    <xf numFmtId="171" fontId="31" fillId="37" borderId="0" xfId="44" applyNumberFormat="1" applyFont="1" applyFill="1" applyBorder="1" applyAlignment="1">
      <alignment/>
    </xf>
    <xf numFmtId="171" fontId="31" fillId="37" borderId="0" xfId="0" applyNumberFormat="1" applyFont="1" applyFill="1" applyBorder="1" applyAlignment="1">
      <alignment/>
    </xf>
    <xf numFmtId="172" fontId="5" fillId="37" borderId="0" xfId="0" applyNumberFormat="1" applyFont="1" applyFill="1" applyBorder="1" applyAlignment="1">
      <alignment horizontal="center"/>
    </xf>
    <xf numFmtId="44" fontId="30" fillId="37" borderId="0" xfId="44" applyFont="1" applyFill="1" applyBorder="1" applyAlignment="1">
      <alignment horizontal="center"/>
    </xf>
    <xf numFmtId="0" fontId="32" fillId="37" borderId="14" xfId="0" applyFont="1" applyFill="1" applyBorder="1" applyAlignment="1">
      <alignment horizontal="right"/>
    </xf>
    <xf numFmtId="3" fontId="23" fillId="37" borderId="0" xfId="44" applyNumberFormat="1" applyFont="1" applyFill="1" applyBorder="1" applyAlignment="1" applyProtection="1">
      <alignment/>
      <protection locked="0"/>
    </xf>
    <xf numFmtId="171" fontId="8" fillId="37" borderId="0" xfId="0" applyNumberFormat="1" applyFont="1" applyFill="1" applyBorder="1" applyAlignment="1">
      <alignment horizontal="center"/>
    </xf>
    <xf numFmtId="0" fontId="30" fillId="37" borderId="14" xfId="0" applyFont="1" applyFill="1" applyBorder="1" applyAlignment="1">
      <alignment horizontal="right"/>
    </xf>
    <xf numFmtId="0" fontId="10" fillId="37" borderId="0" xfId="0" applyFont="1" applyFill="1" applyBorder="1" applyAlignment="1">
      <alignment horizontal="center"/>
    </xf>
    <xf numFmtId="0" fontId="33" fillId="37" borderId="15" xfId="0" applyFont="1" applyFill="1" applyBorder="1" applyAlignment="1">
      <alignment/>
    </xf>
    <xf numFmtId="0" fontId="23" fillId="37" borderId="0" xfId="0" applyFont="1" applyFill="1" applyBorder="1" applyAlignment="1" applyProtection="1">
      <alignment/>
      <protection locked="0"/>
    </xf>
    <xf numFmtId="44" fontId="5" fillId="37" borderId="0" xfId="0" applyNumberFormat="1" applyFont="1" applyFill="1" applyBorder="1" applyAlignment="1">
      <alignment horizontal="center"/>
    </xf>
    <xf numFmtId="44" fontId="23" fillId="37" borderId="15" xfId="44" applyFont="1" applyFill="1" applyBorder="1" applyAlignment="1" applyProtection="1">
      <alignment horizontal="center"/>
      <protection locked="0"/>
    </xf>
    <xf numFmtId="44" fontId="23" fillId="37" borderId="0" xfId="44" applyFont="1" applyFill="1" applyBorder="1" applyAlignment="1" applyProtection="1">
      <alignment/>
      <protection locked="0"/>
    </xf>
    <xf numFmtId="0" fontId="31" fillId="37" borderId="0" xfId="0" applyFont="1" applyFill="1" applyBorder="1" applyAlignment="1">
      <alignment/>
    </xf>
    <xf numFmtId="44" fontId="30" fillId="37" borderId="0" xfId="0" applyNumberFormat="1" applyFont="1" applyFill="1" applyBorder="1" applyAlignment="1">
      <alignment/>
    </xf>
    <xf numFmtId="0" fontId="8" fillId="37" borderId="0" xfId="0" applyFont="1" applyFill="1" applyBorder="1" applyAlignment="1">
      <alignment horizontal="center"/>
    </xf>
    <xf numFmtId="0" fontId="24" fillId="37" borderId="16" xfId="0" applyFont="1" applyFill="1" applyBorder="1" applyAlignment="1">
      <alignment horizontal="right"/>
    </xf>
    <xf numFmtId="0" fontId="34" fillId="37" borderId="17" xfId="0" applyFont="1" applyFill="1" applyBorder="1" applyAlignment="1">
      <alignment/>
    </xf>
    <xf numFmtId="172" fontId="24" fillId="37" borderId="17" xfId="0" applyNumberFormat="1" applyFont="1" applyFill="1" applyBorder="1" applyAlignment="1">
      <alignment horizontal="center"/>
    </xf>
    <xf numFmtId="0" fontId="4" fillId="37" borderId="20" xfId="0" applyFont="1" applyFill="1" applyBorder="1" applyAlignment="1">
      <alignment/>
    </xf>
    <xf numFmtId="0" fontId="69" fillId="36" borderId="0" xfId="0" applyFont="1" applyFill="1" applyAlignment="1">
      <alignment/>
    </xf>
    <xf numFmtId="181" fontId="23" fillId="37" borderId="0" xfId="44" applyNumberFormat="1" applyFont="1" applyFill="1" applyBorder="1" applyAlignment="1" applyProtection="1">
      <alignment/>
      <protection locked="0"/>
    </xf>
    <xf numFmtId="44" fontId="8" fillId="37" borderId="0" xfId="0" applyNumberFormat="1" applyFont="1" applyFill="1" applyBorder="1" applyAlignment="1">
      <alignment horizontal="center"/>
    </xf>
    <xf numFmtId="9" fontId="70" fillId="37" borderId="15" xfId="59" applyFont="1" applyFill="1" applyBorder="1" applyAlignment="1">
      <alignment/>
    </xf>
    <xf numFmtId="9" fontId="70" fillId="36" borderId="20" xfId="59" applyFont="1" applyFill="1" applyBorder="1" applyAlignment="1">
      <alignment/>
    </xf>
    <xf numFmtId="9" fontId="23" fillId="37" borderId="0" xfId="59" applyFont="1" applyFill="1" applyBorder="1" applyAlignment="1" applyProtection="1">
      <alignment/>
      <protection locked="0"/>
    </xf>
    <xf numFmtId="0" fontId="5" fillId="37" borderId="14" xfId="0" applyFont="1" applyFill="1" applyBorder="1" applyAlignment="1">
      <alignment horizontal="right"/>
    </xf>
    <xf numFmtId="44" fontId="5" fillId="37" borderId="0" xfId="0" applyNumberFormat="1" applyFont="1" applyFill="1" applyBorder="1" applyAlignment="1">
      <alignment/>
    </xf>
    <xf numFmtId="44" fontId="5" fillId="37" borderId="0" xfId="44" applyFont="1" applyFill="1" applyBorder="1" applyAlignment="1">
      <alignment/>
    </xf>
    <xf numFmtId="0" fontId="8" fillId="37" borderId="0" xfId="0" applyFont="1" applyFill="1" applyBorder="1" applyAlignment="1" applyProtection="1">
      <alignment/>
      <protection locked="0"/>
    </xf>
    <xf numFmtId="44" fontId="5" fillId="37" borderId="0" xfId="44" applyNumberFormat="1" applyFont="1" applyFill="1" applyBorder="1" applyAlignment="1">
      <alignment/>
    </xf>
    <xf numFmtId="0" fontId="5" fillId="37" borderId="14" xfId="0" applyFont="1" applyFill="1" applyBorder="1" applyAlignment="1">
      <alignment/>
    </xf>
    <xf numFmtId="0" fontId="24" fillId="37" borderId="14" xfId="0" applyFont="1" applyFill="1" applyBorder="1" applyAlignment="1">
      <alignment horizontal="right"/>
    </xf>
    <xf numFmtId="44" fontId="24" fillId="37" borderId="0" xfId="0" applyNumberFormat="1" applyFont="1" applyFill="1" applyBorder="1" applyAlignment="1">
      <alignment/>
    </xf>
    <xf numFmtId="0" fontId="5" fillId="37" borderId="16" xfId="0" applyFont="1" applyFill="1" applyBorder="1" applyAlignment="1">
      <alignment horizontal="right"/>
    </xf>
    <xf numFmtId="0" fontId="5" fillId="37" borderId="17" xfId="0" applyFont="1" applyFill="1" applyBorder="1" applyAlignment="1">
      <alignment/>
    </xf>
    <xf numFmtId="44" fontId="0" fillId="0" borderId="0" xfId="0" applyNumberFormat="1" applyAlignment="1">
      <alignment/>
    </xf>
    <xf numFmtId="0" fontId="0" fillId="35" borderId="0" xfId="0" applyFill="1" applyAlignment="1">
      <alignment/>
    </xf>
    <xf numFmtId="0" fontId="17" fillId="35" borderId="0" xfId="0" applyFont="1" applyFill="1" applyAlignment="1">
      <alignment/>
    </xf>
    <xf numFmtId="0" fontId="92" fillId="37" borderId="0" xfId="0" applyFont="1" applyFill="1" applyAlignment="1">
      <alignment/>
    </xf>
    <xf numFmtId="0" fontId="39" fillId="37" borderId="0" xfId="0" applyFont="1" applyFill="1" applyAlignment="1">
      <alignment/>
    </xf>
    <xf numFmtId="0" fontId="5" fillId="37" borderId="0" xfId="0" applyFont="1" applyFill="1" applyAlignment="1">
      <alignment horizontal="right"/>
    </xf>
    <xf numFmtId="44" fontId="0" fillId="37" borderId="0" xfId="44" applyFont="1" applyFill="1" applyAlignment="1">
      <alignment/>
    </xf>
    <xf numFmtId="0" fontId="8" fillId="37" borderId="0" xfId="0" applyFont="1" applyFill="1" applyAlignment="1">
      <alignment horizontal="right"/>
    </xf>
    <xf numFmtId="44" fontId="17" fillId="37" borderId="0" xfId="44" applyFont="1" applyFill="1" applyAlignment="1">
      <alignment/>
    </xf>
    <xf numFmtId="0" fontId="0" fillId="37" borderId="0" xfId="0" applyFill="1" applyAlignment="1">
      <alignment horizontal="right"/>
    </xf>
    <xf numFmtId="187" fontId="0" fillId="37" borderId="0" xfId="0" applyNumberFormat="1" applyFill="1" applyAlignment="1">
      <alignment/>
    </xf>
    <xf numFmtId="2" fontId="0" fillId="37" borderId="0" xfId="0" applyNumberFormat="1" applyFill="1" applyAlignment="1">
      <alignment horizontal="right"/>
    </xf>
    <xf numFmtId="0" fontId="39" fillId="35" borderId="0" xfId="0" applyFont="1" applyFill="1" applyAlignment="1">
      <alignment/>
    </xf>
    <xf numFmtId="44" fontId="0" fillId="37" borderId="10" xfId="44" applyFont="1" applyFill="1" applyBorder="1" applyAlignment="1">
      <alignment/>
    </xf>
    <xf numFmtId="44" fontId="0" fillId="37" borderId="10" xfId="0" applyNumberFormat="1" applyFill="1" applyBorder="1" applyAlignment="1">
      <alignment/>
    </xf>
    <xf numFmtId="44" fontId="43" fillId="35" borderId="10" xfId="44" applyFont="1" applyFill="1" applyBorder="1" applyAlignment="1">
      <alignment/>
    </xf>
    <xf numFmtId="44" fontId="43" fillId="35" borderId="10" xfId="0" applyNumberFormat="1" applyFont="1" applyFill="1" applyBorder="1" applyAlignment="1">
      <alignment/>
    </xf>
    <xf numFmtId="0" fontId="43" fillId="35" borderId="10" xfId="0" applyFont="1" applyFill="1" applyBorder="1" applyAlignment="1">
      <alignment/>
    </xf>
    <xf numFmtId="169" fontId="43" fillId="37" borderId="10" xfId="42" applyNumberFormat="1" applyFont="1" applyFill="1" applyBorder="1" applyAlignment="1">
      <alignment/>
    </xf>
    <xf numFmtId="169" fontId="0" fillId="37" borderId="10" xfId="0" applyNumberFormat="1" applyFill="1" applyBorder="1" applyAlignment="1">
      <alignment/>
    </xf>
    <xf numFmtId="169" fontId="43" fillId="35" borderId="10" xfId="42" applyNumberFormat="1" applyFont="1" applyFill="1" applyBorder="1" applyAlignment="1">
      <alignment/>
    </xf>
    <xf numFmtId="168" fontId="43" fillId="35" borderId="10" xfId="42" applyNumberFormat="1" applyFont="1" applyFill="1" applyBorder="1" applyAlignment="1">
      <alignment/>
    </xf>
    <xf numFmtId="168" fontId="43" fillId="37" borderId="10" xfId="42" applyNumberFormat="1" applyFont="1" applyFill="1" applyBorder="1" applyAlignment="1">
      <alignment/>
    </xf>
    <xf numFmtId="168" fontId="0" fillId="37" borderId="10" xfId="0" applyNumberFormat="1" applyFill="1" applyBorder="1" applyAlignment="1">
      <alignment/>
    </xf>
    <xf numFmtId="168" fontId="0" fillId="37" borderId="10" xfId="42" applyNumberFormat="1" applyFont="1" applyFill="1" applyBorder="1" applyAlignment="1">
      <alignment/>
    </xf>
    <xf numFmtId="43" fontId="43" fillId="37" borderId="10" xfId="42" applyFont="1" applyFill="1" applyBorder="1" applyAlignment="1">
      <alignment/>
    </xf>
    <xf numFmtId="43" fontId="0" fillId="37" borderId="10" xfId="0" applyNumberFormat="1" applyFill="1" applyBorder="1" applyAlignment="1">
      <alignment/>
    </xf>
    <xf numFmtId="43" fontId="43" fillId="35" borderId="10" xfId="42" applyFont="1" applyFill="1" applyBorder="1" applyAlignment="1">
      <alignment/>
    </xf>
    <xf numFmtId="43" fontId="0" fillId="37" borderId="10" xfId="42" applyFont="1" applyFill="1" applyBorder="1" applyAlignment="1">
      <alignment/>
    </xf>
    <xf numFmtId="181" fontId="43" fillId="37" borderId="10" xfId="44" applyNumberFormat="1" applyFont="1" applyFill="1" applyBorder="1" applyAlignment="1">
      <alignment/>
    </xf>
    <xf numFmtId="0" fontId="0" fillId="37" borderId="10" xfId="0" applyFill="1" applyBorder="1" applyAlignment="1">
      <alignment/>
    </xf>
    <xf numFmtId="44" fontId="17" fillId="37" borderId="10" xfId="44" applyFont="1" applyFill="1" applyBorder="1" applyAlignment="1">
      <alignment/>
    </xf>
    <xf numFmtId="0" fontId="5" fillId="37" borderId="10" xfId="0" applyFont="1" applyFill="1" applyBorder="1" applyAlignment="1">
      <alignment horizontal="right"/>
    </xf>
    <xf numFmtId="0" fontId="39" fillId="37" borderId="10" xfId="0" applyFont="1" applyFill="1" applyBorder="1" applyAlignment="1">
      <alignment horizontal="right"/>
    </xf>
    <xf numFmtId="44" fontId="39" fillId="37" borderId="10" xfId="44" applyFont="1" applyFill="1" applyBorder="1" applyAlignment="1">
      <alignment horizontal="right"/>
    </xf>
    <xf numFmtId="44" fontId="5" fillId="37" borderId="10" xfId="44" applyFont="1" applyFill="1" applyBorder="1" applyAlignment="1">
      <alignment horizontal="right"/>
    </xf>
    <xf numFmtId="44" fontId="8" fillId="37" borderId="10" xfId="44" applyFont="1" applyFill="1" applyBorder="1" applyAlignment="1">
      <alignment horizontal="right"/>
    </xf>
    <xf numFmtId="0" fontId="2" fillId="0" borderId="0" xfId="0" applyFont="1" applyFill="1" applyBorder="1" applyAlignment="1">
      <alignment/>
    </xf>
    <xf numFmtId="0" fontId="0" fillId="0" borderId="0" xfId="0" applyAlignment="1">
      <alignment wrapText="1"/>
    </xf>
    <xf numFmtId="0" fontId="0" fillId="39" borderId="0" xfId="0" applyFill="1" applyAlignment="1">
      <alignment/>
    </xf>
    <xf numFmtId="0" fontId="39" fillId="39" borderId="10" xfId="0" applyFont="1" applyFill="1" applyBorder="1" applyAlignment="1">
      <alignment horizontal="center"/>
    </xf>
    <xf numFmtId="0" fontId="39" fillId="39" borderId="10" xfId="0" applyFont="1" applyFill="1" applyBorder="1" applyAlignment="1">
      <alignment horizontal="center" wrapText="1"/>
    </xf>
    <xf numFmtId="0" fontId="0" fillId="39" borderId="0" xfId="0" applyFill="1" applyAlignment="1">
      <alignment wrapText="1"/>
    </xf>
    <xf numFmtId="0" fontId="90" fillId="39"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181" fontId="0" fillId="0" borderId="0" xfId="0" applyNumberFormat="1" applyAlignment="1">
      <alignment/>
    </xf>
    <xf numFmtId="43" fontId="0" fillId="0" borderId="0" xfId="0" applyNumberFormat="1" applyAlignment="1">
      <alignment/>
    </xf>
    <xf numFmtId="0" fontId="90" fillId="0" borderId="0" xfId="0" applyFont="1" applyFill="1" applyAlignment="1">
      <alignment/>
    </xf>
    <xf numFmtId="0" fontId="0" fillId="0" borderId="0" xfId="0" applyFill="1" applyAlignment="1">
      <alignment/>
    </xf>
    <xf numFmtId="0" fontId="5" fillId="37" borderId="28" xfId="0" applyFont="1" applyFill="1" applyBorder="1" applyAlignment="1">
      <alignment horizontal="center"/>
    </xf>
    <xf numFmtId="0" fontId="39" fillId="37" borderId="28" xfId="0" applyFont="1" applyFill="1" applyBorder="1" applyAlignment="1">
      <alignment horizontal="center"/>
    </xf>
    <xf numFmtId="0" fontId="39" fillId="37" borderId="29" xfId="0" applyFont="1" applyFill="1" applyBorder="1" applyAlignment="1">
      <alignment horizontal="center"/>
    </xf>
    <xf numFmtId="0" fontId="33" fillId="37" borderId="29" xfId="0" applyFont="1" applyFill="1" applyBorder="1" applyAlignment="1">
      <alignment horizontal="center"/>
    </xf>
    <xf numFmtId="170" fontId="39" fillId="37" borderId="29" xfId="44" applyNumberFormat="1" applyFont="1" applyFill="1" applyBorder="1" applyAlignment="1">
      <alignment horizontal="center"/>
    </xf>
    <xf numFmtId="0" fontId="0" fillId="37" borderId="28" xfId="0" applyFont="1" applyFill="1" applyBorder="1" applyAlignment="1">
      <alignment horizontal="center" wrapText="1"/>
    </xf>
    <xf numFmtId="0" fontId="0" fillId="37" borderId="28" xfId="0" applyFill="1" applyBorder="1" applyAlignment="1">
      <alignment horizontal="right"/>
    </xf>
    <xf numFmtId="0" fontId="0" fillId="37" borderId="28" xfId="0" applyFill="1" applyBorder="1" applyAlignment="1">
      <alignment/>
    </xf>
    <xf numFmtId="0" fontId="0" fillId="37" borderId="29" xfId="0" applyFill="1" applyBorder="1" applyAlignment="1">
      <alignment/>
    </xf>
    <xf numFmtId="170" fontId="0" fillId="37" borderId="29" xfId="44" applyNumberFormat="1" applyFont="1" applyFill="1" applyBorder="1" applyAlignment="1">
      <alignment/>
    </xf>
    <xf numFmtId="0" fontId="0" fillId="37" borderId="28" xfId="0" applyFont="1" applyFill="1" applyBorder="1" applyAlignment="1">
      <alignment horizontal="left" wrapText="1"/>
    </xf>
    <xf numFmtId="0" fontId="0" fillId="37" borderId="28" xfId="0" applyFill="1" applyBorder="1" applyAlignment="1">
      <alignment horizontal="left"/>
    </xf>
    <xf numFmtId="0" fontId="0" fillId="37" borderId="28" xfId="0" applyFill="1" applyBorder="1" applyAlignment="1">
      <alignment wrapText="1"/>
    </xf>
    <xf numFmtId="168" fontId="0" fillId="37" borderId="29" xfId="42" applyNumberFormat="1" applyFont="1" applyFill="1" applyBorder="1" applyAlignment="1">
      <alignment/>
    </xf>
    <xf numFmtId="169" fontId="0" fillId="37" borderId="29" xfId="42" applyNumberFormat="1" applyFont="1" applyFill="1" applyBorder="1" applyAlignment="1">
      <alignment/>
    </xf>
    <xf numFmtId="0" fontId="0" fillId="37" borderId="36" xfId="0" applyFill="1" applyBorder="1" applyAlignment="1">
      <alignment/>
    </xf>
    <xf numFmtId="0" fontId="0" fillId="37" borderId="35" xfId="0" applyFill="1" applyBorder="1" applyAlignment="1">
      <alignment/>
    </xf>
    <xf numFmtId="181" fontId="0" fillId="37" borderId="36" xfId="44" applyNumberFormat="1" applyFont="1" applyFill="1" applyBorder="1" applyAlignment="1">
      <alignment/>
    </xf>
    <xf numFmtId="0" fontId="0" fillId="37" borderId="35" xfId="0" applyFill="1" applyBorder="1" applyAlignment="1">
      <alignment horizontal="left"/>
    </xf>
    <xf numFmtId="44" fontId="0" fillId="37" borderId="15" xfId="44" applyFont="1" applyFill="1" applyBorder="1" applyAlignment="1">
      <alignment/>
    </xf>
    <xf numFmtId="0" fontId="108" fillId="0" borderId="28" xfId="0" applyFont="1" applyBorder="1" applyAlignment="1">
      <alignment horizontal="center" wrapText="1"/>
    </xf>
    <xf numFmtId="0" fontId="108" fillId="0" borderId="29" xfId="0" applyFont="1" applyBorder="1" applyAlignment="1">
      <alignment horizontal="center" wrapText="1"/>
    </xf>
    <xf numFmtId="0" fontId="108" fillId="0" borderId="28" xfId="0" applyFont="1" applyBorder="1" applyAlignment="1">
      <alignment/>
    </xf>
    <xf numFmtId="0" fontId="108" fillId="0" borderId="29" xfId="0" applyFont="1" applyBorder="1" applyAlignment="1">
      <alignment/>
    </xf>
    <xf numFmtId="0" fontId="108" fillId="0" borderId="41" xfId="0" applyFont="1" applyBorder="1" applyAlignment="1">
      <alignment horizontal="center" wrapText="1"/>
    </xf>
    <xf numFmtId="174" fontId="39" fillId="0" borderId="0" xfId="59" applyNumberFormat="1" applyFont="1" applyFill="1" applyBorder="1" applyAlignment="1">
      <alignment/>
    </xf>
    <xf numFmtId="44" fontId="11" fillId="0" borderId="0" xfId="0" applyNumberFormat="1" applyFont="1" applyBorder="1" applyAlignment="1">
      <alignment/>
    </xf>
    <xf numFmtId="181" fontId="11" fillId="0" borderId="15" xfId="0" applyNumberFormat="1" applyFont="1" applyBorder="1" applyAlignment="1">
      <alignment/>
    </xf>
    <xf numFmtId="44" fontId="11" fillId="0" borderId="17" xfId="0" applyNumberFormat="1" applyFont="1" applyBorder="1" applyAlignment="1">
      <alignment/>
    </xf>
    <xf numFmtId="181" fontId="11" fillId="0" borderId="20" xfId="0" applyNumberFormat="1" applyFont="1" applyBorder="1" applyAlignment="1">
      <alignment/>
    </xf>
    <xf numFmtId="9" fontId="11" fillId="0" borderId="14" xfId="59" applyFont="1" applyBorder="1" applyAlignment="1">
      <alignment/>
    </xf>
    <xf numFmtId="44" fontId="11" fillId="0" borderId="14" xfId="0" applyNumberFormat="1" applyFont="1" applyBorder="1" applyAlignment="1">
      <alignment/>
    </xf>
    <xf numFmtId="0" fontId="11" fillId="0" borderId="14" xfId="0" applyFont="1" applyBorder="1" applyAlignment="1">
      <alignment/>
    </xf>
    <xf numFmtId="43" fontId="11" fillId="0" borderId="15" xfId="0" applyNumberFormat="1" applyFont="1" applyBorder="1" applyAlignment="1">
      <alignment/>
    </xf>
    <xf numFmtId="0" fontId="11" fillId="0" borderId="15" xfId="0" applyFont="1" applyBorder="1" applyAlignment="1">
      <alignment/>
    </xf>
    <xf numFmtId="9" fontId="11" fillId="0" borderId="16" xfId="59" applyFont="1" applyBorder="1" applyAlignment="1">
      <alignment/>
    </xf>
    <xf numFmtId="44" fontId="11" fillId="0" borderId="16" xfId="0" applyNumberFormat="1" applyFont="1" applyBorder="1" applyAlignment="1">
      <alignment/>
    </xf>
    <xf numFmtId="0" fontId="11" fillId="0" borderId="16" xfId="0" applyFont="1" applyBorder="1" applyAlignment="1">
      <alignment/>
    </xf>
    <xf numFmtId="43" fontId="11" fillId="0" borderId="20" xfId="0" applyNumberFormat="1" applyFont="1" applyBorder="1" applyAlignment="1">
      <alignment/>
    </xf>
    <xf numFmtId="0" fontId="11" fillId="0" borderId="20" xfId="0" applyFont="1" applyBorder="1" applyAlignment="1">
      <alignment/>
    </xf>
    <xf numFmtId="0" fontId="9" fillId="0" borderId="0" xfId="0" applyFont="1" applyFill="1" applyBorder="1" applyAlignment="1">
      <alignment horizontal="right"/>
    </xf>
    <xf numFmtId="0" fontId="9" fillId="39" borderId="42" xfId="0" applyFont="1" applyFill="1" applyBorder="1" applyAlignment="1">
      <alignment horizontal="center" wrapText="1"/>
    </xf>
    <xf numFmtId="0" fontId="8" fillId="39" borderId="10" xfId="0" applyFont="1" applyFill="1" applyBorder="1" applyAlignment="1">
      <alignment/>
    </xf>
    <xf numFmtId="0" fontId="8" fillId="39" borderId="10" xfId="0" applyFont="1" applyFill="1" applyBorder="1" applyAlignment="1">
      <alignment wrapText="1"/>
    </xf>
    <xf numFmtId="0" fontId="109" fillId="39" borderId="43" xfId="0" applyFont="1" applyFill="1" applyBorder="1" applyAlignment="1">
      <alignment wrapText="1"/>
    </xf>
    <xf numFmtId="0" fontId="11" fillId="39" borderId="10" xfId="0" applyFont="1" applyFill="1" applyBorder="1" applyAlignment="1">
      <alignment/>
    </xf>
    <xf numFmtId="170" fontId="11" fillId="39" borderId="10" xfId="0" applyNumberFormat="1" applyFont="1" applyFill="1" applyBorder="1" applyAlignment="1">
      <alignment/>
    </xf>
    <xf numFmtId="9" fontId="11" fillId="39" borderId="10" xfId="59" applyFont="1" applyFill="1" applyBorder="1" applyAlignment="1">
      <alignment/>
    </xf>
    <xf numFmtId="187" fontId="11" fillId="39" borderId="10" xfId="0" applyNumberFormat="1" applyFont="1" applyFill="1" applyBorder="1" applyAlignment="1">
      <alignment/>
    </xf>
    <xf numFmtId="181" fontId="109" fillId="39" borderId="43" xfId="0" applyNumberFormat="1" applyFont="1" applyFill="1" applyBorder="1" applyAlignment="1">
      <alignment/>
    </xf>
    <xf numFmtId="181" fontId="109" fillId="39" borderId="44" xfId="0" applyNumberFormat="1" applyFont="1" applyFill="1" applyBorder="1" applyAlignment="1">
      <alignment/>
    </xf>
    <xf numFmtId="0" fontId="8" fillId="39" borderId="13" xfId="0" applyFont="1" applyFill="1" applyBorder="1" applyAlignment="1">
      <alignment/>
    </xf>
    <xf numFmtId="0" fontId="0" fillId="39" borderId="19" xfId="0" applyFill="1" applyBorder="1" applyAlignment="1">
      <alignment wrapText="1"/>
    </xf>
    <xf numFmtId="0" fontId="8" fillId="39" borderId="14" xfId="0" applyFont="1" applyFill="1" applyBorder="1" applyAlignment="1">
      <alignment wrapText="1"/>
    </xf>
    <xf numFmtId="0" fontId="8" fillId="39" borderId="0" xfId="0" applyFont="1" applyFill="1" applyBorder="1" applyAlignment="1">
      <alignment/>
    </xf>
    <xf numFmtId="44" fontId="0" fillId="39" borderId="15" xfId="44" applyFont="1" applyFill="1" applyBorder="1" applyAlignment="1">
      <alignment/>
    </xf>
    <xf numFmtId="0" fontId="8" fillId="39" borderId="14" xfId="0" applyFont="1" applyFill="1" applyBorder="1" applyAlignment="1">
      <alignment/>
    </xf>
    <xf numFmtId="0" fontId="0" fillId="39" borderId="15" xfId="0" applyFill="1" applyBorder="1" applyAlignment="1">
      <alignment/>
    </xf>
    <xf numFmtId="0" fontId="8" fillId="39" borderId="28" xfId="0" applyFont="1" applyFill="1" applyBorder="1" applyAlignment="1">
      <alignment wrapText="1"/>
    </xf>
    <xf numFmtId="0" fontId="11" fillId="39" borderId="28" xfId="0" applyFont="1" applyFill="1" applyBorder="1" applyAlignment="1">
      <alignment/>
    </xf>
    <xf numFmtId="0" fontId="11" fillId="39" borderId="35" xfId="0" applyFont="1" applyFill="1" applyBorder="1" applyAlignment="1">
      <alignment/>
    </xf>
    <xf numFmtId="0" fontId="11" fillId="39" borderId="45" xfId="0" applyFont="1" applyFill="1" applyBorder="1" applyAlignment="1">
      <alignment/>
    </xf>
    <xf numFmtId="170" fontId="11" fillId="39" borderId="45" xfId="0" applyNumberFormat="1" applyFont="1" applyFill="1" applyBorder="1" applyAlignment="1">
      <alignment/>
    </xf>
    <xf numFmtId="9" fontId="11" fillId="39" borderId="45" xfId="59" applyFont="1" applyFill="1" applyBorder="1" applyAlignment="1">
      <alignment/>
    </xf>
    <xf numFmtId="187" fontId="11" fillId="39" borderId="45" xfId="0" applyNumberFormat="1" applyFont="1" applyFill="1" applyBorder="1" applyAlignment="1">
      <alignment/>
    </xf>
    <xf numFmtId="0" fontId="8" fillId="39" borderId="18" xfId="0" applyFont="1" applyFill="1" applyBorder="1" applyAlignment="1">
      <alignment horizontal="center" wrapText="1"/>
    </xf>
    <xf numFmtId="0" fontId="39" fillId="37" borderId="46" xfId="0" applyFont="1" applyFill="1" applyBorder="1" applyAlignment="1">
      <alignment horizontal="center" wrapText="1"/>
    </xf>
    <xf numFmtId="0" fontId="39" fillId="37" borderId="47" xfId="0" applyFont="1" applyFill="1" applyBorder="1" applyAlignment="1">
      <alignment horizontal="center" wrapText="1"/>
    </xf>
    <xf numFmtId="0" fontId="108" fillId="0" borderId="48" xfId="0" applyFont="1" applyBorder="1" applyAlignment="1">
      <alignment horizontal="center" wrapText="1"/>
    </xf>
    <xf numFmtId="181" fontId="11" fillId="0" borderId="0" xfId="0" applyNumberFormat="1" applyFont="1" applyBorder="1" applyAlignment="1">
      <alignment/>
    </xf>
    <xf numFmtId="181" fontId="11" fillId="0" borderId="17" xfId="0" applyNumberFormat="1" applyFont="1" applyBorder="1" applyAlignment="1">
      <alignment/>
    </xf>
    <xf numFmtId="0" fontId="0" fillId="37" borderId="28" xfId="0" applyFont="1" applyFill="1" applyBorder="1" applyAlignment="1">
      <alignment horizontal="left"/>
    </xf>
    <xf numFmtId="174" fontId="0" fillId="37" borderId="29" xfId="59" applyNumberFormat="1" applyFont="1" applyFill="1" applyBorder="1" applyAlignment="1">
      <alignment/>
    </xf>
    <xf numFmtId="44" fontId="0" fillId="37" borderId="29" xfId="44" applyFont="1" applyFill="1" applyBorder="1" applyAlignment="1">
      <alignment/>
    </xf>
    <xf numFmtId="44" fontId="0" fillId="37" borderId="29" xfId="0" applyNumberFormat="1" applyFill="1" applyBorder="1" applyAlignment="1">
      <alignment/>
    </xf>
    <xf numFmtId="181" fontId="0" fillId="37" borderId="29" xfId="0" applyNumberFormat="1" applyFill="1" applyBorder="1" applyAlignment="1">
      <alignment/>
    </xf>
    <xf numFmtId="170" fontId="0" fillId="37" borderId="11" xfId="44" applyNumberFormat="1" applyFont="1" applyFill="1" applyBorder="1" applyAlignment="1">
      <alignment horizontal="left"/>
    </xf>
    <xf numFmtId="0" fontId="0" fillId="37" borderId="41" xfId="0" applyFill="1" applyBorder="1" applyAlignment="1">
      <alignment/>
    </xf>
    <xf numFmtId="0" fontId="33" fillId="37" borderId="11" xfId="0" applyFont="1" applyFill="1" applyBorder="1" applyAlignment="1">
      <alignment horizontal="center" wrapText="1"/>
    </xf>
    <xf numFmtId="0" fontId="0" fillId="37" borderId="11" xfId="0" applyFill="1" applyBorder="1" applyAlignment="1">
      <alignment horizontal="left"/>
    </xf>
    <xf numFmtId="170" fontId="0" fillId="37" borderId="11" xfId="44" applyNumberFormat="1" applyFont="1" applyFill="1" applyBorder="1" applyAlignment="1">
      <alignment/>
    </xf>
    <xf numFmtId="0" fontId="0" fillId="37" borderId="49" xfId="0" applyFill="1" applyBorder="1" applyAlignment="1">
      <alignment horizontal="left"/>
    </xf>
    <xf numFmtId="0" fontId="39" fillId="37" borderId="41" xfId="0" applyFont="1" applyFill="1" applyBorder="1" applyAlignment="1">
      <alignment horizontal="center"/>
    </xf>
    <xf numFmtId="0" fontId="0" fillId="37" borderId="50" xfId="0" applyFill="1" applyBorder="1" applyAlignment="1">
      <alignment/>
    </xf>
    <xf numFmtId="191" fontId="0" fillId="37" borderId="29" xfId="59" applyNumberFormat="1" applyFont="1" applyFill="1" applyBorder="1" applyAlignment="1">
      <alignment/>
    </xf>
    <xf numFmtId="0" fontId="0" fillId="37" borderId="51" xfId="0" applyFill="1" applyBorder="1" applyAlignment="1">
      <alignment/>
    </xf>
    <xf numFmtId="170" fontId="43" fillId="37" borderId="52" xfId="44" applyNumberFormat="1" applyFont="1" applyFill="1" applyBorder="1" applyAlignment="1">
      <alignment horizontal="center"/>
    </xf>
    <xf numFmtId="0" fontId="0" fillId="37" borderId="52" xfId="0" applyFill="1" applyBorder="1" applyAlignment="1">
      <alignment/>
    </xf>
    <xf numFmtId="0" fontId="0" fillId="37" borderId="32" xfId="0" applyFill="1" applyBorder="1" applyAlignment="1">
      <alignment/>
    </xf>
    <xf numFmtId="44" fontId="0" fillId="37" borderId="30" xfId="44" applyFont="1" applyFill="1" applyBorder="1" applyAlignment="1">
      <alignment/>
    </xf>
    <xf numFmtId="44" fontId="0" fillId="37" borderId="31" xfId="44" applyFont="1" applyFill="1" applyBorder="1" applyAlignment="1">
      <alignment/>
    </xf>
    <xf numFmtId="0" fontId="39" fillId="37" borderId="53" xfId="0" applyFont="1" applyFill="1" applyBorder="1" applyAlignment="1">
      <alignment horizontal="center"/>
    </xf>
    <xf numFmtId="0" fontId="0" fillId="37" borderId="53" xfId="0" applyFill="1" applyBorder="1" applyAlignment="1">
      <alignment/>
    </xf>
    <xf numFmtId="0" fontId="108" fillId="0" borderId="43" xfId="0" applyFont="1" applyBorder="1" applyAlignment="1">
      <alignment horizontal="center" wrapText="1"/>
    </xf>
    <xf numFmtId="0" fontId="108" fillId="37" borderId="29" xfId="0" applyFont="1" applyFill="1" applyBorder="1" applyAlignment="1">
      <alignment horizontal="center"/>
    </xf>
    <xf numFmtId="0" fontId="108" fillId="37" borderId="52" xfId="0" applyFont="1" applyFill="1" applyBorder="1" applyAlignment="1">
      <alignment horizontal="center"/>
    </xf>
    <xf numFmtId="187" fontId="0" fillId="37" borderId="29" xfId="0" applyNumberFormat="1" applyFill="1" applyBorder="1" applyAlignment="1">
      <alignment horizontal="center"/>
    </xf>
    <xf numFmtId="187" fontId="0" fillId="37" borderId="52" xfId="0" applyNumberFormat="1" applyFill="1" applyBorder="1" applyAlignment="1">
      <alignment horizontal="center"/>
    </xf>
    <xf numFmtId="0" fontId="107" fillId="37" borderId="22" xfId="0" applyFont="1" applyFill="1" applyBorder="1" applyAlignment="1">
      <alignment/>
    </xf>
    <xf numFmtId="44" fontId="0" fillId="0" borderId="0" xfId="0" applyNumberFormat="1" applyBorder="1" applyAlignment="1">
      <alignment/>
    </xf>
    <xf numFmtId="9" fontId="9" fillId="0" borderId="15" xfId="0" applyNumberFormat="1" applyFont="1" applyFill="1" applyBorder="1" applyAlignment="1">
      <alignment/>
    </xf>
    <xf numFmtId="0" fontId="0" fillId="0" borderId="16" xfId="0" applyBorder="1" applyAlignment="1">
      <alignment/>
    </xf>
    <xf numFmtId="0" fontId="0" fillId="0" borderId="17" xfId="0" applyFill="1" applyBorder="1" applyAlignment="1">
      <alignment/>
    </xf>
    <xf numFmtId="0" fontId="9" fillId="0" borderId="17" xfId="0" applyFont="1" applyFill="1" applyBorder="1" applyAlignment="1">
      <alignment horizontal="right"/>
    </xf>
    <xf numFmtId="9" fontId="9" fillId="0" borderId="20" xfId="0" applyNumberFormat="1" applyFont="1" applyFill="1" applyBorder="1" applyAlignment="1">
      <alignment/>
    </xf>
    <xf numFmtId="0" fontId="11" fillId="39" borderId="10" xfId="0" applyFont="1" applyFill="1" applyBorder="1" applyAlignment="1">
      <alignment/>
    </xf>
    <xf numFmtId="44" fontId="11" fillId="39" borderId="10" xfId="44" applyFont="1" applyFill="1" applyBorder="1" applyAlignment="1">
      <alignment/>
    </xf>
    <xf numFmtId="0" fontId="108" fillId="37" borderId="28" xfId="0" applyFont="1" applyFill="1" applyBorder="1" applyAlignment="1">
      <alignment horizontal="right"/>
    </xf>
    <xf numFmtId="187" fontId="108" fillId="37" borderId="29" xfId="0" applyNumberFormat="1" applyFont="1" applyFill="1" applyBorder="1" applyAlignment="1">
      <alignment horizontal="center"/>
    </xf>
    <xf numFmtId="187" fontId="108" fillId="37" borderId="52" xfId="0" applyNumberFormat="1" applyFont="1" applyFill="1" applyBorder="1" applyAlignment="1">
      <alignment horizontal="center"/>
    </xf>
    <xf numFmtId="44" fontId="108" fillId="37" borderId="29" xfId="44" applyFont="1" applyFill="1" applyBorder="1" applyAlignment="1">
      <alignment horizontal="center"/>
    </xf>
    <xf numFmtId="44" fontId="108" fillId="37" borderId="52" xfId="44" applyFont="1" applyFill="1" applyBorder="1" applyAlignment="1">
      <alignment horizontal="center"/>
    </xf>
    <xf numFmtId="0" fontId="43" fillId="37" borderId="14" xfId="0" applyFont="1" applyFill="1" applyBorder="1" applyAlignment="1">
      <alignment/>
    </xf>
    <xf numFmtId="188" fontId="11" fillId="0" borderId="15" xfId="0" applyNumberFormat="1" applyFont="1" applyBorder="1" applyAlignment="1">
      <alignment/>
    </xf>
    <xf numFmtId="0" fontId="0" fillId="35" borderId="23" xfId="0" applyFill="1" applyBorder="1" applyAlignment="1">
      <alignment/>
    </xf>
    <xf numFmtId="0" fontId="0" fillId="35" borderId="14" xfId="0" applyFill="1" applyBorder="1" applyAlignment="1">
      <alignment/>
    </xf>
    <xf numFmtId="0" fontId="33" fillId="35" borderId="29" xfId="0" applyFont="1" applyFill="1" applyBorder="1" applyAlignment="1">
      <alignment horizontal="center" wrapText="1"/>
    </xf>
    <xf numFmtId="0" fontId="0" fillId="35" borderId="28" xfId="0" applyFont="1" applyFill="1" applyBorder="1" applyAlignment="1">
      <alignment horizontal="left" wrapText="1"/>
    </xf>
    <xf numFmtId="170" fontId="0" fillId="35" borderId="29" xfId="44" applyNumberFormat="1" applyFont="1" applyFill="1" applyBorder="1" applyAlignment="1">
      <alignment horizontal="left"/>
    </xf>
    <xf numFmtId="0" fontId="0" fillId="35" borderId="28" xfId="0" applyFill="1" applyBorder="1" applyAlignment="1">
      <alignment horizontal="left"/>
    </xf>
    <xf numFmtId="0" fontId="0" fillId="35" borderId="29" xfId="0" applyFill="1" applyBorder="1" applyAlignment="1">
      <alignment horizontal="left"/>
    </xf>
    <xf numFmtId="0" fontId="0" fillId="35" borderId="28" xfId="0" applyFill="1" applyBorder="1" applyAlignment="1">
      <alignment/>
    </xf>
    <xf numFmtId="170" fontId="0" fillId="35" borderId="29" xfId="44" applyNumberFormat="1" applyFont="1" applyFill="1" applyBorder="1" applyAlignment="1">
      <alignment/>
    </xf>
    <xf numFmtId="0" fontId="0" fillId="35" borderId="35" xfId="0" applyFill="1" applyBorder="1" applyAlignment="1">
      <alignment horizontal="left"/>
    </xf>
    <xf numFmtId="0" fontId="0" fillId="35" borderId="36" xfId="0" applyFill="1" applyBorder="1" applyAlignment="1">
      <alignment horizontal="left"/>
    </xf>
    <xf numFmtId="0" fontId="0" fillId="35" borderId="15" xfId="0" applyFill="1" applyBorder="1" applyAlignment="1">
      <alignment/>
    </xf>
    <xf numFmtId="0" fontId="108" fillId="35" borderId="28" xfId="0" applyFont="1" applyFill="1" applyBorder="1" applyAlignment="1">
      <alignment horizontal="center" wrapText="1"/>
    </xf>
    <xf numFmtId="0" fontId="108" fillId="35" borderId="29" xfId="0" applyFont="1" applyFill="1" applyBorder="1" applyAlignment="1">
      <alignment horizontal="center" wrapText="1"/>
    </xf>
    <xf numFmtId="44" fontId="11" fillId="35" borderId="14" xfId="0" applyNumberFormat="1" applyFont="1" applyFill="1" applyBorder="1" applyAlignment="1">
      <alignment/>
    </xf>
    <xf numFmtId="181" fontId="11" fillId="35" borderId="15" xfId="0" applyNumberFormat="1" applyFont="1" applyFill="1" applyBorder="1" applyAlignment="1">
      <alignment/>
    </xf>
    <xf numFmtId="44" fontId="11" fillId="35" borderId="16" xfId="0" applyNumberFormat="1" applyFont="1" applyFill="1" applyBorder="1" applyAlignment="1">
      <alignment/>
    </xf>
    <xf numFmtId="181" fontId="11" fillId="35" borderId="20" xfId="0" applyNumberFormat="1" applyFont="1" applyFill="1" applyBorder="1" applyAlignment="1">
      <alignment/>
    </xf>
    <xf numFmtId="174" fontId="39" fillId="35" borderId="0" xfId="59" applyNumberFormat="1" applyFont="1" applyFill="1" applyBorder="1" applyAlignment="1">
      <alignment/>
    </xf>
    <xf numFmtId="0" fontId="39" fillId="37" borderId="11" xfId="0" applyFont="1" applyFill="1" applyBorder="1" applyAlignment="1">
      <alignment horizontal="center" wrapText="1"/>
    </xf>
    <xf numFmtId="0" fontId="0" fillId="37" borderId="11" xfId="0" applyFill="1" applyBorder="1" applyAlignment="1">
      <alignment/>
    </xf>
    <xf numFmtId="0" fontId="0" fillId="37" borderId="11" xfId="0" applyFill="1" applyBorder="1" applyAlignment="1">
      <alignment wrapText="1"/>
    </xf>
    <xf numFmtId="0" fontId="0" fillId="37" borderId="49" xfId="0" applyFill="1" applyBorder="1" applyAlignment="1">
      <alignment/>
    </xf>
    <xf numFmtId="0" fontId="108" fillId="0" borderId="11" xfId="0" applyFont="1" applyBorder="1" applyAlignment="1">
      <alignment/>
    </xf>
    <xf numFmtId="0" fontId="11" fillId="0" borderId="0" xfId="0" applyFont="1" applyBorder="1" applyAlignment="1">
      <alignment/>
    </xf>
    <xf numFmtId="0" fontId="11" fillId="0" borderId="17" xfId="0" applyFont="1" applyBorder="1" applyAlignment="1">
      <alignment/>
    </xf>
    <xf numFmtId="0" fontId="17" fillId="35" borderId="13" xfId="0" applyFont="1" applyFill="1" applyBorder="1" applyAlignment="1">
      <alignment/>
    </xf>
    <xf numFmtId="0" fontId="0" fillId="35" borderId="18" xfId="0" applyFill="1" applyBorder="1" applyAlignment="1">
      <alignment/>
    </xf>
    <xf numFmtId="0" fontId="0" fillId="35" borderId="19" xfId="0" applyFill="1" applyBorder="1" applyAlignment="1">
      <alignment/>
    </xf>
    <xf numFmtId="0" fontId="0" fillId="35" borderId="26" xfId="0" applyFill="1" applyBorder="1" applyAlignment="1">
      <alignment/>
    </xf>
    <xf numFmtId="0" fontId="0" fillId="35" borderId="27" xfId="0" applyFill="1" applyBorder="1" applyAlignment="1">
      <alignment/>
    </xf>
    <xf numFmtId="44" fontId="0" fillId="35" borderId="14" xfId="0" applyNumberFormat="1" applyFill="1" applyBorder="1" applyAlignment="1">
      <alignment/>
    </xf>
    <xf numFmtId="181" fontId="0" fillId="35" borderId="0" xfId="0" applyNumberFormat="1" applyFill="1" applyBorder="1" applyAlignment="1">
      <alignment/>
    </xf>
    <xf numFmtId="44" fontId="0" fillId="35" borderId="0" xfId="0" applyNumberFormat="1" applyFill="1" applyBorder="1" applyAlignment="1">
      <alignment/>
    </xf>
    <xf numFmtId="181" fontId="0" fillId="35" borderId="15" xfId="0" applyNumberFormat="1" applyFill="1" applyBorder="1" applyAlignment="1">
      <alignment/>
    </xf>
    <xf numFmtId="0" fontId="0" fillId="35" borderId="0" xfId="0" applyFill="1" applyBorder="1" applyAlignment="1">
      <alignment/>
    </xf>
    <xf numFmtId="174" fontId="39" fillId="35" borderId="15" xfId="59" applyNumberFormat="1" applyFont="1" applyFill="1" applyBorder="1" applyAlignment="1">
      <alignment/>
    </xf>
    <xf numFmtId="0" fontId="0" fillId="35" borderId="16" xfId="0" applyFill="1" applyBorder="1" applyAlignment="1">
      <alignment/>
    </xf>
    <xf numFmtId="174" fontId="39" fillId="35" borderId="17" xfId="59" applyNumberFormat="1" applyFont="1" applyFill="1" applyBorder="1" applyAlignment="1">
      <alignment/>
    </xf>
    <xf numFmtId="0" fontId="0" fillId="35" borderId="17" xfId="0" applyFill="1" applyBorder="1" applyAlignment="1">
      <alignment/>
    </xf>
    <xf numFmtId="174" fontId="39" fillId="35" borderId="20" xfId="59" applyNumberFormat="1" applyFont="1" applyFill="1" applyBorder="1" applyAlignment="1">
      <alignment/>
    </xf>
    <xf numFmtId="0" fontId="3" fillId="0" borderId="12" xfId="0" applyFont="1" applyFill="1" applyBorder="1" applyAlignment="1">
      <alignment/>
    </xf>
    <xf numFmtId="0" fontId="0" fillId="33" borderId="12" xfId="0" applyFill="1" applyBorder="1" applyAlignment="1">
      <alignment/>
    </xf>
    <xf numFmtId="0" fontId="0" fillId="13" borderId="0" xfId="0" applyFill="1" applyAlignment="1">
      <alignment/>
    </xf>
    <xf numFmtId="0" fontId="0" fillId="40" borderId="53" xfId="0" applyFill="1" applyBorder="1" applyAlignment="1">
      <alignment/>
    </xf>
    <xf numFmtId="0" fontId="0" fillId="40" borderId="54" xfId="0" applyFill="1" applyBorder="1" applyAlignment="1">
      <alignment/>
    </xf>
    <xf numFmtId="0" fontId="88" fillId="0" borderId="55" xfId="0" applyFont="1" applyBorder="1" applyAlignment="1">
      <alignment horizontal="right"/>
    </xf>
    <xf numFmtId="0" fontId="3" fillId="0" borderId="10" xfId="0" applyFont="1" applyBorder="1" applyAlignment="1">
      <alignment horizontal="right"/>
    </xf>
    <xf numFmtId="0" fontId="3" fillId="0" borderId="10" xfId="0" applyFont="1" applyBorder="1" applyAlignment="1">
      <alignment/>
    </xf>
    <xf numFmtId="0" fontId="88" fillId="0" borderId="10" xfId="0" applyFont="1" applyBorder="1" applyAlignment="1">
      <alignment horizontal="right"/>
    </xf>
    <xf numFmtId="0" fontId="0" fillId="0" borderId="10" xfId="0" applyFont="1" applyBorder="1" applyAlignment="1">
      <alignment/>
    </xf>
    <xf numFmtId="0" fontId="2" fillId="0" borderId="0" xfId="0" applyFont="1" applyAlignment="1">
      <alignment/>
    </xf>
    <xf numFmtId="0" fontId="2" fillId="41" borderId="0" xfId="0" applyFont="1" applyFill="1" applyAlignment="1">
      <alignment/>
    </xf>
    <xf numFmtId="44" fontId="5" fillId="41" borderId="0" xfId="44" applyFont="1" applyFill="1" applyBorder="1" applyAlignment="1">
      <alignment/>
    </xf>
    <xf numFmtId="44" fontId="8" fillId="41" borderId="0" xfId="44" applyFont="1" applyFill="1" applyBorder="1" applyAlignment="1">
      <alignment/>
    </xf>
    <xf numFmtId="0" fontId="110" fillId="41" borderId="0" xfId="0" applyFont="1" applyFill="1" applyAlignment="1">
      <alignment/>
    </xf>
    <xf numFmtId="0" fontId="90" fillId="41" borderId="0" xfId="0" applyFont="1" applyFill="1" applyAlignment="1">
      <alignment/>
    </xf>
    <xf numFmtId="0" fontId="90" fillId="41" borderId="0" xfId="0" applyFont="1" applyFill="1" applyBorder="1" applyAlignment="1">
      <alignment/>
    </xf>
    <xf numFmtId="0" fontId="0" fillId="39" borderId="0" xfId="0" applyFont="1" applyFill="1" applyAlignment="1">
      <alignment/>
    </xf>
    <xf numFmtId="0" fontId="5"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5" fillId="0" borderId="0" xfId="0" applyFont="1" applyAlignment="1">
      <alignment horizontal="left" wrapText="1"/>
    </xf>
    <xf numFmtId="0" fontId="30" fillId="0" borderId="0" xfId="0" applyFont="1" applyAlignment="1">
      <alignment horizontal="left"/>
    </xf>
    <xf numFmtId="0" fontId="0" fillId="0" borderId="0" xfId="0" applyAlignment="1">
      <alignment horizontal="left" wrapText="1"/>
    </xf>
    <xf numFmtId="0" fontId="8" fillId="0" borderId="0" xfId="0" applyFont="1" applyAlignment="1">
      <alignment horizontal="left"/>
    </xf>
    <xf numFmtId="0" fontId="22" fillId="0" borderId="0" xfId="0" applyFont="1" applyAlignment="1">
      <alignment horizontal="left"/>
    </xf>
    <xf numFmtId="0" fontId="8" fillId="0" borderId="0" xfId="0" applyFont="1" applyAlignment="1">
      <alignment horizontal="left"/>
    </xf>
    <xf numFmtId="0" fontId="111" fillId="0" borderId="0" xfId="0" applyFont="1" applyAlignment="1">
      <alignment horizontal="left"/>
    </xf>
    <xf numFmtId="0" fontId="10" fillId="0" borderId="0" xfId="0" applyFont="1" applyAlignment="1">
      <alignment/>
    </xf>
    <xf numFmtId="0" fontId="147" fillId="0" borderId="0" xfId="0" applyFont="1" applyAlignment="1">
      <alignment/>
    </xf>
    <xf numFmtId="168" fontId="147" fillId="0" borderId="0" xfId="42" applyNumberFormat="1" applyFont="1" applyAlignment="1">
      <alignment/>
    </xf>
    <xf numFmtId="0" fontId="107" fillId="42" borderId="22" xfId="0" applyFont="1" applyFill="1" applyBorder="1" applyAlignment="1">
      <alignment/>
    </xf>
    <xf numFmtId="0" fontId="0" fillId="42" borderId="0" xfId="0" applyFill="1" applyAlignment="1">
      <alignment/>
    </xf>
    <xf numFmtId="0" fontId="0" fillId="42" borderId="23" xfId="0" applyFill="1" applyBorder="1" applyAlignment="1">
      <alignment/>
    </xf>
    <xf numFmtId="0" fontId="88" fillId="39" borderId="15" xfId="0" applyFont="1" applyFill="1" applyBorder="1" applyAlignment="1">
      <alignment horizontal="center" textRotation="90" wrapText="1"/>
    </xf>
    <xf numFmtId="0" fontId="88" fillId="39" borderId="30" xfId="0" applyFont="1" applyFill="1" applyBorder="1" applyAlignment="1">
      <alignment horizontal="center" textRotation="90" wrapText="1"/>
    </xf>
    <xf numFmtId="0" fontId="94" fillId="0" borderId="0" xfId="0" applyFont="1" applyBorder="1" applyAlignment="1">
      <alignment horizontal="center" wrapText="1"/>
    </xf>
    <xf numFmtId="0" fontId="0" fillId="0" borderId="0" xfId="0" applyAlignment="1">
      <alignment wrapText="1"/>
    </xf>
    <xf numFmtId="0" fontId="0" fillId="0" borderId="15" xfId="0" applyBorder="1" applyAlignment="1">
      <alignment wrapText="1"/>
    </xf>
    <xf numFmtId="0" fontId="0" fillId="0" borderId="0" xfId="0" applyFont="1" applyAlignment="1">
      <alignment wrapText="1"/>
    </xf>
    <xf numFmtId="168" fontId="98" fillId="0" borderId="13" xfId="42" applyNumberFormat="1" applyFont="1" applyBorder="1" applyAlignment="1">
      <alignment horizontal="center" wrapText="1"/>
    </xf>
    <xf numFmtId="168" fontId="98" fillId="0" borderId="18" xfId="42" applyNumberFormat="1" applyFont="1" applyBorder="1" applyAlignment="1">
      <alignment horizontal="center" wrapText="1"/>
    </xf>
    <xf numFmtId="168" fontId="98" fillId="0" borderId="19" xfId="42" applyNumberFormat="1" applyFont="1" applyBorder="1" applyAlignment="1">
      <alignment horizontal="center" wrapText="1"/>
    </xf>
    <xf numFmtId="168" fontId="100" fillId="0" borderId="13" xfId="42" applyNumberFormat="1" applyFont="1" applyBorder="1" applyAlignment="1">
      <alignment horizontal="center" wrapText="1"/>
    </xf>
    <xf numFmtId="168" fontId="100" fillId="0" borderId="18" xfId="42" applyNumberFormat="1" applyFont="1" applyBorder="1" applyAlignment="1">
      <alignment horizontal="center" wrapText="1"/>
    </xf>
    <xf numFmtId="168" fontId="100" fillId="0" borderId="19" xfId="42" applyNumberFormat="1" applyFont="1" applyBorder="1" applyAlignment="1">
      <alignment horizontal="center" wrapText="1"/>
    </xf>
    <xf numFmtId="0" fontId="0" fillId="37" borderId="14" xfId="0" applyFill="1" applyBorder="1" applyAlignment="1">
      <alignment wrapText="1"/>
    </xf>
    <xf numFmtId="0" fontId="4" fillId="37" borderId="0" xfId="0" applyFont="1" applyFill="1" applyBorder="1" applyAlignment="1">
      <alignment wrapText="1"/>
    </xf>
    <xf numFmtId="0" fontId="61" fillId="37" borderId="54" xfId="0" applyFont="1" applyFill="1" applyBorder="1" applyAlignment="1">
      <alignment horizontal="center"/>
    </xf>
    <xf numFmtId="0" fontId="61" fillId="37" borderId="56" xfId="0" applyFont="1" applyFill="1" applyBorder="1" applyAlignment="1">
      <alignment horizontal="center"/>
    </xf>
    <xf numFmtId="0" fontId="61" fillId="37" borderId="44" xfId="0" applyFont="1" applyFill="1" applyBorder="1" applyAlignment="1">
      <alignment horizontal="center"/>
    </xf>
    <xf numFmtId="0" fontId="63" fillId="37" borderId="13" xfId="0" applyFont="1" applyFill="1" applyBorder="1" applyAlignment="1">
      <alignment horizontal="center"/>
    </xf>
    <xf numFmtId="0" fontId="63" fillId="37" borderId="18" xfId="0" applyFont="1" applyFill="1" applyBorder="1" applyAlignment="1">
      <alignment horizontal="center"/>
    </xf>
    <xf numFmtId="0" fontId="63" fillId="37" borderId="19" xfId="0" applyFont="1" applyFill="1" applyBorder="1" applyAlignment="1">
      <alignment horizontal="center"/>
    </xf>
    <xf numFmtId="0" fontId="5" fillId="0" borderId="0" xfId="0" applyFont="1" applyAlignment="1">
      <alignment horizontal="left" wrapText="1"/>
    </xf>
    <xf numFmtId="0" fontId="0" fillId="0" borderId="0" xfId="0" applyAlignment="1">
      <alignment horizontal="left" wrapText="1"/>
    </xf>
    <xf numFmtId="0" fontId="39" fillId="37" borderId="57" xfId="0" applyFont="1" applyFill="1" applyBorder="1" applyAlignment="1">
      <alignment horizontal="center" wrapText="1"/>
    </xf>
    <xf numFmtId="0" fontId="39" fillId="37" borderId="58" xfId="0" applyFont="1" applyFill="1" applyBorder="1" applyAlignment="1">
      <alignment horizontal="center" wrapText="1"/>
    </xf>
    <xf numFmtId="0" fontId="39" fillId="37" borderId="33" xfId="0" applyFont="1" applyFill="1" applyBorder="1" applyAlignment="1">
      <alignment horizontal="center" wrapText="1"/>
    </xf>
    <xf numFmtId="0" fontId="39" fillId="37" borderId="34" xfId="0" applyFont="1" applyFill="1" applyBorder="1" applyAlignment="1">
      <alignment horizontal="center" wrapText="1"/>
    </xf>
    <xf numFmtId="0" fontId="39" fillId="35" borderId="59" xfId="0" applyFont="1" applyFill="1" applyBorder="1" applyAlignment="1">
      <alignment horizontal="center" wrapText="1"/>
    </xf>
    <xf numFmtId="0" fontId="39" fillId="35" borderId="58" xfId="0" applyFont="1" applyFill="1" applyBorder="1" applyAlignment="1">
      <alignment horizontal="center" wrapText="1"/>
    </xf>
    <xf numFmtId="0" fontId="39" fillId="35" borderId="33" xfId="0" applyFont="1" applyFill="1" applyBorder="1" applyAlignment="1">
      <alignment horizontal="center" wrapText="1"/>
    </xf>
    <xf numFmtId="0" fontId="39" fillId="35" borderId="34" xfId="0" applyFont="1" applyFill="1" applyBorder="1" applyAlignment="1">
      <alignment horizontal="center" wrapText="1"/>
    </xf>
    <xf numFmtId="0" fontId="39" fillId="37" borderId="60" xfId="0" applyFont="1" applyFill="1" applyBorder="1" applyAlignment="1">
      <alignment horizontal="center" wrapText="1"/>
    </xf>
    <xf numFmtId="0" fontId="39" fillId="37" borderId="61" xfId="0" applyFont="1" applyFill="1" applyBorder="1" applyAlignment="1">
      <alignment horizontal="center" wrapText="1"/>
    </xf>
    <xf numFmtId="0" fontId="148" fillId="40" borderId="60" xfId="0" applyFont="1" applyFill="1" applyBorder="1" applyAlignment="1">
      <alignment horizontal="center" wrapText="1"/>
    </xf>
    <xf numFmtId="0" fontId="148" fillId="40" borderId="21" xfId="0" applyFont="1" applyFill="1" applyBorder="1" applyAlignment="1">
      <alignment horizontal="center" wrapText="1"/>
    </xf>
    <xf numFmtId="0" fontId="148" fillId="40" borderId="61" xfId="0" applyFont="1" applyFill="1" applyBorder="1" applyAlignment="1">
      <alignment horizontal="center" wrapText="1"/>
    </xf>
    <xf numFmtId="0" fontId="39" fillId="37" borderId="21" xfId="0" applyFont="1" applyFill="1" applyBorder="1" applyAlignment="1">
      <alignment horizontal="center" wrapText="1"/>
    </xf>
    <xf numFmtId="0" fontId="0" fillId="37" borderId="13" xfId="0" applyFill="1" applyBorder="1" applyAlignment="1">
      <alignment horizontal="center" wrapText="1"/>
    </xf>
    <xf numFmtId="0" fontId="0" fillId="37" borderId="19" xfId="0" applyFill="1" applyBorder="1" applyAlignment="1">
      <alignment horizontal="center" wrapText="1"/>
    </xf>
    <xf numFmtId="0" fontId="0" fillId="37" borderId="14" xfId="0" applyFill="1" applyBorder="1" applyAlignment="1">
      <alignment horizontal="center" wrapText="1"/>
    </xf>
    <xf numFmtId="0" fontId="0" fillId="37" borderId="15" xfId="0" applyFill="1" applyBorder="1" applyAlignment="1">
      <alignment horizontal="center" wrapText="1"/>
    </xf>
    <xf numFmtId="0" fontId="0" fillId="37" borderId="16" xfId="0" applyFill="1" applyBorder="1" applyAlignment="1">
      <alignment horizontal="center" wrapText="1"/>
    </xf>
    <xf numFmtId="0" fontId="0" fillId="37" borderId="20" xfId="0" applyFill="1" applyBorder="1" applyAlignment="1">
      <alignment horizontal="center" wrapText="1"/>
    </xf>
    <xf numFmtId="0" fontId="0" fillId="37" borderId="18" xfId="0" applyFill="1" applyBorder="1" applyAlignment="1">
      <alignment horizontal="center" wrapText="1"/>
    </xf>
    <xf numFmtId="0" fontId="0" fillId="37" borderId="0" xfId="0" applyFill="1" applyBorder="1" applyAlignment="1">
      <alignment horizontal="center" wrapText="1"/>
    </xf>
    <xf numFmtId="0" fontId="0" fillId="37" borderId="17" xfId="0" applyFill="1" applyBorder="1" applyAlignment="1">
      <alignment horizontal="center" wrapText="1"/>
    </xf>
    <xf numFmtId="0" fontId="39" fillId="37" borderId="59" xfId="0" applyFont="1" applyFill="1" applyBorder="1" applyAlignment="1">
      <alignment horizontal="center" wrapText="1"/>
    </xf>
    <xf numFmtId="0" fontId="39" fillId="37" borderId="62" xfId="0" applyFont="1" applyFill="1" applyBorder="1" applyAlignment="1">
      <alignment horizontal="center" wrapText="1"/>
    </xf>
    <xf numFmtId="0" fontId="39" fillId="37" borderId="46" xfId="0" applyFont="1" applyFill="1" applyBorder="1" applyAlignment="1">
      <alignment horizontal="center" wrapText="1"/>
    </xf>
    <xf numFmtId="0" fontId="39" fillId="37" borderId="47" xfId="0" applyFont="1" applyFill="1" applyBorder="1" applyAlignment="1">
      <alignment horizontal="center" wrapText="1"/>
    </xf>
    <xf numFmtId="0" fontId="39" fillId="37" borderId="63" xfId="0" applyFont="1" applyFill="1" applyBorder="1" applyAlignment="1">
      <alignment horizontal="center" wrapText="1"/>
    </xf>
    <xf numFmtId="0" fontId="39" fillId="37" borderId="64" xfId="0" applyFont="1" applyFill="1" applyBorder="1" applyAlignment="1">
      <alignment horizontal="center" wrapText="1"/>
    </xf>
    <xf numFmtId="0" fontId="92" fillId="42" borderId="0" xfId="0" applyFont="1" applyFill="1" applyAlignment="1">
      <alignment wrapText="1"/>
    </xf>
    <xf numFmtId="0" fontId="0" fillId="42" borderId="0" xfId="0" applyFill="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28575</xdr:rowOff>
    </xdr:from>
    <xdr:to>
      <xdr:col>2</xdr:col>
      <xdr:colOff>504825</xdr:colOff>
      <xdr:row>3</xdr:row>
      <xdr:rowOff>114300</xdr:rowOff>
    </xdr:to>
    <xdr:pic>
      <xdr:nvPicPr>
        <xdr:cNvPr id="1" name="Picture 1" descr="Logo2007.jpg"/>
        <xdr:cNvPicPr preferRelativeResize="1">
          <a:picLocks noChangeAspect="1"/>
        </xdr:cNvPicPr>
      </xdr:nvPicPr>
      <xdr:blipFill>
        <a:blip r:embed="rId1"/>
        <a:stretch>
          <a:fillRect/>
        </a:stretch>
      </xdr:blipFill>
      <xdr:spPr>
        <a:xfrm>
          <a:off x="371475" y="190500"/>
          <a:ext cx="2181225" cy="923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O37"/>
  <sheetViews>
    <sheetView tabSelected="1" zoomScale="75" zoomScaleNormal="75" zoomScalePageLayoutView="0" workbookViewId="0" topLeftCell="A1">
      <selection activeCell="S3" sqref="S3"/>
    </sheetView>
  </sheetViews>
  <sheetFormatPr defaultColWidth="9.140625" defaultRowHeight="12.75"/>
  <cols>
    <col min="1" max="1" width="3.28125" style="0" customWidth="1"/>
    <col min="2" max="2" width="27.421875" style="0" customWidth="1"/>
    <col min="3" max="3" width="11.140625" style="0" customWidth="1"/>
    <col min="7" max="7" width="11.7109375" style="0" customWidth="1"/>
    <col min="8" max="8" width="31.7109375" style="0" customWidth="1"/>
    <col min="9" max="9" width="13.7109375" style="0" customWidth="1"/>
    <col min="10" max="10" width="16.28125" style="0" customWidth="1"/>
    <col min="11" max="11" width="16.421875" style="0" customWidth="1"/>
  </cols>
  <sheetData>
    <row r="1" spans="2:11" ht="12.75">
      <c r="B1" s="269"/>
      <c r="C1" s="270"/>
      <c r="D1" s="270"/>
      <c r="E1" s="270"/>
      <c r="F1" s="270"/>
      <c r="G1" s="270"/>
      <c r="H1" s="270"/>
      <c r="I1" s="270"/>
      <c r="J1" s="270"/>
      <c r="K1" s="271"/>
    </row>
    <row r="2" spans="2:11" ht="51.75" customHeight="1">
      <c r="B2" s="36"/>
      <c r="C2" s="31"/>
      <c r="D2" s="725" t="s">
        <v>308</v>
      </c>
      <c r="E2" s="726"/>
      <c r="F2" s="726"/>
      <c r="G2" s="726"/>
      <c r="H2" s="726"/>
      <c r="I2" s="726"/>
      <c r="J2" s="726"/>
      <c r="K2" s="727"/>
    </row>
    <row r="3" spans="2:11" ht="14.25" customHeight="1">
      <c r="B3" s="36"/>
      <c r="C3" s="31"/>
      <c r="D3" s="726"/>
      <c r="E3" s="726"/>
      <c r="F3" s="726"/>
      <c r="G3" s="726"/>
      <c r="H3" s="726"/>
      <c r="I3" s="726"/>
      <c r="J3" s="726"/>
      <c r="K3" s="727"/>
    </row>
    <row r="4" spans="2:11" ht="14.25" customHeight="1">
      <c r="B4" s="36"/>
      <c r="C4" s="31"/>
      <c r="D4" s="726"/>
      <c r="E4" s="726"/>
      <c r="F4" s="726"/>
      <c r="G4" s="726"/>
      <c r="H4" s="726"/>
      <c r="I4" s="726"/>
      <c r="J4" s="726"/>
      <c r="K4" s="727"/>
    </row>
    <row r="5" spans="2:11" ht="12.75">
      <c r="B5" s="36"/>
      <c r="C5" s="31"/>
      <c r="D5" s="31"/>
      <c r="E5" s="31"/>
      <c r="F5" s="31"/>
      <c r="G5" s="31"/>
      <c r="H5" s="31"/>
      <c r="I5" s="31"/>
      <c r="J5" s="31"/>
      <c r="K5" s="39"/>
    </row>
    <row r="6" spans="2:11" ht="18.75">
      <c r="B6" s="36"/>
      <c r="C6" s="272" t="s">
        <v>195</v>
      </c>
      <c r="E6" s="31"/>
      <c r="F6" s="31"/>
      <c r="G6" s="31"/>
      <c r="H6" s="31"/>
      <c r="I6" s="31"/>
      <c r="J6" s="31"/>
      <c r="K6" s="39"/>
    </row>
    <row r="7" spans="2:11" ht="18.75">
      <c r="B7" s="36"/>
      <c r="C7" s="31"/>
      <c r="D7" s="272" t="s">
        <v>196</v>
      </c>
      <c r="E7" s="31"/>
      <c r="F7" s="31"/>
      <c r="G7" s="31"/>
      <c r="H7" s="31"/>
      <c r="I7" s="31"/>
      <c r="J7" s="31"/>
      <c r="K7" s="39"/>
    </row>
    <row r="8" spans="2:11" ht="18.75">
      <c r="B8" s="273"/>
      <c r="C8" s="31"/>
      <c r="E8" s="272" t="s">
        <v>197</v>
      </c>
      <c r="F8" s="31"/>
      <c r="G8" s="31"/>
      <c r="H8" s="31"/>
      <c r="I8" s="31"/>
      <c r="J8" s="31"/>
      <c r="K8" s="39"/>
    </row>
    <row r="9" spans="2:11" ht="16.5" thickBot="1">
      <c r="B9" s="274"/>
      <c r="C9" s="275"/>
      <c r="D9" s="275"/>
      <c r="E9" s="275"/>
      <c r="F9" s="275"/>
      <c r="G9" s="275"/>
      <c r="H9" s="275"/>
      <c r="I9" s="275"/>
      <c r="J9" s="275"/>
      <c r="K9" s="276"/>
    </row>
    <row r="10" spans="2:15" ht="54.75" thickBot="1">
      <c r="B10" s="268"/>
      <c r="C10" s="264"/>
      <c r="D10" s="264"/>
      <c r="E10" s="264"/>
      <c r="F10" s="264"/>
      <c r="G10" s="264"/>
      <c r="H10" s="285" t="s">
        <v>207</v>
      </c>
      <c r="I10" s="286" t="s">
        <v>213</v>
      </c>
      <c r="J10" s="286" t="s">
        <v>200</v>
      </c>
      <c r="K10" s="287" t="s">
        <v>214</v>
      </c>
      <c r="O10" s="315"/>
    </row>
    <row r="11" spans="2:11" ht="24.75" customHeight="1" thickBot="1">
      <c r="B11" s="283"/>
      <c r="C11" s="275"/>
      <c r="D11" s="275"/>
      <c r="E11" s="275"/>
      <c r="F11" s="275"/>
      <c r="G11" s="284" t="s">
        <v>201</v>
      </c>
      <c r="H11" s="694" t="s">
        <v>202</v>
      </c>
      <c r="I11" s="723" t="s">
        <v>212</v>
      </c>
      <c r="J11" s="724" t="s">
        <v>212</v>
      </c>
      <c r="K11" s="723" t="s">
        <v>212</v>
      </c>
    </row>
    <row r="12" spans="2:11" ht="24.75" customHeight="1" thickBot="1">
      <c r="B12" s="265"/>
      <c r="C12" s="264"/>
      <c r="D12" s="264"/>
      <c r="E12" s="264"/>
      <c r="F12" s="264"/>
      <c r="G12" s="278" t="s">
        <v>184</v>
      </c>
      <c r="H12" s="695" t="s">
        <v>203</v>
      </c>
      <c r="I12" s="723"/>
      <c r="J12" s="724"/>
      <c r="K12" s="723"/>
    </row>
    <row r="13" spans="2:11" ht="24.75" customHeight="1" thickBot="1">
      <c r="B13" s="265"/>
      <c r="C13" s="264"/>
      <c r="D13" s="264"/>
      <c r="E13" s="264"/>
      <c r="F13" s="264"/>
      <c r="G13" s="278" t="s">
        <v>106</v>
      </c>
      <c r="H13" s="696" t="s">
        <v>283</v>
      </c>
      <c r="I13" s="723"/>
      <c r="J13" s="724"/>
      <c r="K13" s="723"/>
    </row>
    <row r="14" spans="2:11" ht="24.75" customHeight="1" thickBot="1">
      <c r="B14" s="265"/>
      <c r="C14" s="264"/>
      <c r="D14" s="264"/>
      <c r="E14" s="264"/>
      <c r="F14" s="264"/>
      <c r="G14" s="278" t="s">
        <v>182</v>
      </c>
      <c r="H14" s="696" t="s">
        <v>282</v>
      </c>
      <c r="I14" s="723"/>
      <c r="J14" s="724"/>
      <c r="K14" s="723"/>
    </row>
    <row r="15" spans="2:11" ht="24.75" customHeight="1" thickBot="1">
      <c r="B15" s="265"/>
      <c r="C15" s="264"/>
      <c r="D15" s="264"/>
      <c r="E15" s="264"/>
      <c r="F15" s="264"/>
      <c r="G15" s="278" t="s">
        <v>204</v>
      </c>
      <c r="H15" s="696" t="s">
        <v>288</v>
      </c>
      <c r="I15" s="723"/>
      <c r="J15" s="724"/>
      <c r="K15" s="723"/>
    </row>
    <row r="16" spans="2:11" ht="24.75" customHeight="1" thickBot="1">
      <c r="B16" s="265"/>
      <c r="C16" s="264"/>
      <c r="D16" s="264"/>
      <c r="E16" s="264"/>
      <c r="F16" s="264"/>
      <c r="G16" s="278" t="s">
        <v>205</v>
      </c>
      <c r="H16" s="696" t="s">
        <v>281</v>
      </c>
      <c r="I16" s="723"/>
      <c r="J16" s="724"/>
      <c r="K16" s="723"/>
    </row>
    <row r="17" spans="2:11" ht="24.75" customHeight="1" thickBot="1">
      <c r="B17" s="265"/>
      <c r="C17" s="264"/>
      <c r="D17" s="264"/>
      <c r="E17" s="264"/>
      <c r="F17" s="264"/>
      <c r="G17" s="278" t="s">
        <v>208</v>
      </c>
      <c r="H17" s="696" t="s">
        <v>281</v>
      </c>
      <c r="I17" s="723"/>
      <c r="J17" s="724"/>
      <c r="K17" s="723"/>
    </row>
    <row r="18" spans="2:11" ht="24.75" customHeight="1" thickBot="1">
      <c r="B18" s="265"/>
      <c r="C18" s="264"/>
      <c r="D18" s="264"/>
      <c r="E18" s="264"/>
      <c r="F18" s="264"/>
      <c r="G18" s="278" t="s">
        <v>209</v>
      </c>
      <c r="H18" s="696" t="s">
        <v>281</v>
      </c>
      <c r="I18" s="723"/>
      <c r="J18" s="724"/>
      <c r="K18" s="723"/>
    </row>
    <row r="19" spans="2:11" ht="24.75" customHeight="1" thickBot="1">
      <c r="B19" s="265"/>
      <c r="C19" s="264"/>
      <c r="D19" s="264"/>
      <c r="E19" s="264"/>
      <c r="F19" s="264"/>
      <c r="G19" s="278" t="s">
        <v>191</v>
      </c>
      <c r="H19" s="696" t="s">
        <v>549</v>
      </c>
      <c r="I19" s="723"/>
      <c r="J19" s="724"/>
      <c r="K19" s="723"/>
    </row>
    <row r="20" spans="2:11" ht="24.75" customHeight="1" thickBot="1">
      <c r="B20" s="267"/>
      <c r="C20" s="264"/>
      <c r="D20" s="264"/>
      <c r="E20" s="264"/>
      <c r="F20" s="264"/>
      <c r="G20" s="278" t="s">
        <v>206</v>
      </c>
      <c r="H20" s="696" t="s">
        <v>550</v>
      </c>
      <c r="I20" s="723"/>
      <c r="J20" s="724"/>
      <c r="K20" s="723"/>
    </row>
    <row r="21" spans="2:11" ht="24.75" customHeight="1" thickBot="1">
      <c r="B21" s="266"/>
      <c r="C21" s="264"/>
      <c r="D21" s="264"/>
      <c r="E21" s="264"/>
      <c r="F21" s="264"/>
      <c r="G21" s="278" t="s">
        <v>215</v>
      </c>
      <c r="H21" s="696" t="s">
        <v>284</v>
      </c>
      <c r="I21" s="723"/>
      <c r="J21" s="724"/>
      <c r="K21" s="723"/>
    </row>
    <row r="22" spans="2:11" ht="24.75" customHeight="1" thickBot="1">
      <c r="B22" s="265"/>
      <c r="C22" s="264"/>
      <c r="D22" s="264"/>
      <c r="E22" s="264"/>
      <c r="F22" s="264"/>
      <c r="G22" s="278" t="s">
        <v>210</v>
      </c>
      <c r="H22" s="696" t="s">
        <v>280</v>
      </c>
      <c r="I22" s="723"/>
      <c r="J22" s="724"/>
      <c r="K22" s="723"/>
    </row>
    <row r="23" spans="2:11" ht="24.75" customHeight="1" thickBot="1">
      <c r="B23" s="265"/>
      <c r="C23" s="264"/>
      <c r="D23" s="264"/>
      <c r="E23" s="264"/>
      <c r="F23" s="264"/>
      <c r="G23" s="278" t="s">
        <v>186</v>
      </c>
      <c r="H23" s="696" t="s">
        <v>287</v>
      </c>
      <c r="I23" s="723"/>
      <c r="J23" s="724"/>
      <c r="K23" s="723"/>
    </row>
    <row r="24" spans="2:11" ht="24.75" customHeight="1" thickBot="1">
      <c r="B24" s="265"/>
      <c r="C24" s="264"/>
      <c r="D24" s="264"/>
      <c r="E24" s="264"/>
      <c r="F24" s="264"/>
      <c r="G24" s="278" t="s">
        <v>185</v>
      </c>
      <c r="H24" s="697" t="s">
        <v>202</v>
      </c>
      <c r="I24" s="723"/>
      <c r="J24" s="724"/>
      <c r="K24" s="723"/>
    </row>
    <row r="25" spans="2:11" ht="24.75" customHeight="1" thickBot="1">
      <c r="B25" s="265"/>
      <c r="C25" s="264"/>
      <c r="D25" s="264"/>
      <c r="E25" s="264"/>
      <c r="F25" s="264"/>
      <c r="G25" s="278" t="s">
        <v>192</v>
      </c>
      <c r="H25" s="696" t="s">
        <v>285</v>
      </c>
      <c r="I25" s="723"/>
      <c r="J25" s="724"/>
      <c r="K25" s="723"/>
    </row>
    <row r="26" spans="2:11" ht="24.75" customHeight="1" thickBot="1">
      <c r="B26" s="265"/>
      <c r="C26" s="264"/>
      <c r="D26" s="264"/>
      <c r="E26" s="264"/>
      <c r="F26" s="264"/>
      <c r="G26" s="278" t="s">
        <v>193</v>
      </c>
      <c r="H26" s="696" t="s">
        <v>285</v>
      </c>
      <c r="I26" s="723"/>
      <c r="J26" s="724"/>
      <c r="K26" s="723"/>
    </row>
    <row r="27" spans="2:11" ht="24.75" customHeight="1" thickBot="1">
      <c r="B27" s="265"/>
      <c r="C27" s="264"/>
      <c r="D27" s="264"/>
      <c r="E27" s="264"/>
      <c r="F27" s="264"/>
      <c r="G27" s="278" t="s">
        <v>187</v>
      </c>
      <c r="H27" s="696" t="s">
        <v>286</v>
      </c>
      <c r="I27" s="723"/>
      <c r="J27" s="724"/>
      <c r="K27" s="723"/>
    </row>
    <row r="28" spans="2:11" ht="24.75" customHeight="1" thickBot="1">
      <c r="B28" s="265"/>
      <c r="C28" s="264"/>
      <c r="D28" s="264"/>
      <c r="E28" s="264"/>
      <c r="F28" s="264"/>
      <c r="G28" s="278" t="s">
        <v>188</v>
      </c>
      <c r="H28" s="696" t="s">
        <v>286</v>
      </c>
      <c r="I28" s="723"/>
      <c r="J28" s="724"/>
      <c r="K28" s="723"/>
    </row>
    <row r="29" spans="2:11" ht="24.75" customHeight="1" thickBot="1">
      <c r="B29" s="265"/>
      <c r="C29" s="264"/>
      <c r="D29" s="264"/>
      <c r="E29" s="264"/>
      <c r="F29" s="264"/>
      <c r="G29" s="278" t="s">
        <v>189</v>
      </c>
      <c r="H29" s="696" t="s">
        <v>285</v>
      </c>
      <c r="I29" s="723"/>
      <c r="J29" s="724"/>
      <c r="K29" s="723"/>
    </row>
    <row r="30" spans="2:11" ht="24.75" customHeight="1" thickBot="1">
      <c r="B30" s="265"/>
      <c r="C30" s="264"/>
      <c r="D30" s="264"/>
      <c r="E30" s="264"/>
      <c r="F30" s="264"/>
      <c r="G30" s="278" t="s">
        <v>190</v>
      </c>
      <c r="H30" s="696" t="s">
        <v>285</v>
      </c>
      <c r="I30" s="723"/>
      <c r="J30" s="724"/>
      <c r="K30" s="723"/>
    </row>
    <row r="31" spans="2:11" ht="24.75" customHeight="1" thickBot="1">
      <c r="B31" s="265"/>
      <c r="C31" s="264"/>
      <c r="D31" s="264"/>
      <c r="E31" s="264"/>
      <c r="F31" s="264"/>
      <c r="G31" s="278"/>
      <c r="H31" s="698"/>
      <c r="I31" s="723"/>
      <c r="J31" s="724"/>
      <c r="K31" s="723"/>
    </row>
    <row r="32" spans="2:11" ht="24.75" customHeight="1" thickBot="1">
      <c r="B32" s="265"/>
      <c r="C32" s="264"/>
      <c r="D32" s="264"/>
      <c r="E32" s="264"/>
      <c r="F32" s="264"/>
      <c r="G32" s="277" t="s">
        <v>194</v>
      </c>
      <c r="H32" s="696" t="s">
        <v>289</v>
      </c>
      <c r="I32" s="723"/>
      <c r="J32" s="724"/>
      <c r="K32" s="723"/>
    </row>
    <row r="33" spans="7:11" ht="24.75" customHeight="1" thickBot="1">
      <c r="G33" s="21"/>
      <c r="H33" s="262"/>
      <c r="I33" s="723"/>
      <c r="J33" s="724"/>
      <c r="K33" s="723"/>
    </row>
    <row r="34" spans="2:11" ht="24.75" customHeight="1" thickBot="1">
      <c r="B34" s="263" t="s">
        <v>198</v>
      </c>
      <c r="C34" s="264"/>
      <c r="D34" s="264"/>
      <c r="E34" s="264"/>
      <c r="F34" s="264"/>
      <c r="G34" s="277"/>
      <c r="H34" s="262"/>
      <c r="I34" s="723"/>
      <c r="J34" s="724"/>
      <c r="K34" s="723"/>
    </row>
    <row r="35" spans="2:11" ht="24.75" customHeight="1" thickBot="1">
      <c r="B35" s="279" t="s">
        <v>199</v>
      </c>
      <c r="C35" s="270"/>
      <c r="D35" s="270"/>
      <c r="E35" s="270"/>
      <c r="F35" s="270"/>
      <c r="G35" s="280"/>
      <c r="H35" s="281"/>
      <c r="I35" s="723"/>
      <c r="J35" s="724"/>
      <c r="K35" s="723"/>
    </row>
    <row r="36" spans="2:11" ht="24.75" customHeight="1" thickBot="1">
      <c r="B36" s="269" t="s">
        <v>211</v>
      </c>
      <c r="C36" s="270"/>
      <c r="D36" s="270"/>
      <c r="E36" s="270"/>
      <c r="F36" s="270"/>
      <c r="G36" s="280"/>
      <c r="H36" s="271"/>
      <c r="I36" s="723"/>
      <c r="J36" s="724"/>
      <c r="K36" s="723"/>
    </row>
    <row r="37" spans="2:11" ht="24.75" customHeight="1" thickBot="1">
      <c r="B37" s="265"/>
      <c r="C37" s="264"/>
      <c r="D37" s="264"/>
      <c r="E37" s="264"/>
      <c r="F37" s="264"/>
      <c r="G37" s="264"/>
      <c r="H37" s="282"/>
      <c r="I37" s="723"/>
      <c r="J37" s="724"/>
      <c r="K37" s="723"/>
    </row>
  </sheetData>
  <sheetProtection/>
  <mergeCells count="4">
    <mergeCell ref="I11:I37"/>
    <mergeCell ref="J11:J37"/>
    <mergeCell ref="D2:K4"/>
    <mergeCell ref="K11:K37"/>
  </mergeCells>
  <printOptions/>
  <pageMargins left="0.25" right="0.25" top="1" bottom="1" header="0.5" footer="0.5"/>
  <pageSetup fitToHeight="1" fitToWidth="1" horizontalDpi="600" verticalDpi="600" orientation="portrait" paperSize="3" scale="87" r:id="rId2"/>
  <drawing r:id="rId1"/>
</worksheet>
</file>

<file path=xl/worksheets/sheet10.xml><?xml version="1.0" encoding="utf-8"?>
<worksheet xmlns="http://schemas.openxmlformats.org/spreadsheetml/2006/main" xmlns:r="http://schemas.openxmlformats.org/officeDocument/2006/relationships">
  <dimension ref="A6:AH56"/>
  <sheetViews>
    <sheetView zoomScalePageLayoutView="0" workbookViewId="0" topLeftCell="A22">
      <selection activeCell="K4" sqref="K4"/>
    </sheetView>
  </sheetViews>
  <sheetFormatPr defaultColWidth="9.140625" defaultRowHeight="12.75"/>
  <cols>
    <col min="2" max="2" width="12.421875" style="0" customWidth="1"/>
    <col min="3" max="3" width="11.8515625" style="0" customWidth="1"/>
    <col min="4" max="4" width="14.8515625" style="0" customWidth="1"/>
    <col min="5" max="5" width="11.8515625" style="0" customWidth="1"/>
    <col min="6" max="6" width="9.57421875" style="0" customWidth="1"/>
    <col min="7" max="7" width="10.57421875" style="0" customWidth="1"/>
    <col min="8" max="8" width="11.140625" style="0" customWidth="1"/>
    <col min="9" max="9" width="12.421875" style="0" customWidth="1"/>
    <col min="10" max="10" width="12.00390625" style="0" customWidth="1"/>
    <col min="11" max="11" width="24.28125" style="0" customWidth="1"/>
    <col min="12" max="12" width="10.57421875" style="0" customWidth="1"/>
    <col min="13" max="13" width="12.8515625" style="0" customWidth="1"/>
    <col min="14" max="14" width="20.140625" style="0" customWidth="1"/>
    <col min="15" max="15" width="10.28125" style="0" customWidth="1"/>
    <col min="16" max="16" width="11.28125" style="0" customWidth="1"/>
    <col min="17" max="17" width="23.140625" style="0" customWidth="1"/>
    <col min="18" max="18" width="10.421875" style="0" customWidth="1"/>
    <col min="19" max="19" width="18.7109375" style="0" customWidth="1"/>
    <col min="20" max="20" width="12.7109375" style="0" customWidth="1"/>
    <col min="21" max="21" width="17.57421875" style="0" customWidth="1"/>
    <col min="22" max="22" width="11.28125" style="0" customWidth="1"/>
    <col min="23" max="23" width="14.140625" style="0" customWidth="1"/>
    <col min="24" max="24" width="10.140625" style="0" customWidth="1"/>
    <col min="25" max="25" width="17.140625" style="0" customWidth="1"/>
    <col min="26" max="26" width="7.28125" style="0" customWidth="1"/>
    <col min="27" max="27" width="15.140625" style="0" customWidth="1"/>
    <col min="28" max="28" width="10.140625" style="0" customWidth="1"/>
    <col min="29" max="29" width="14.57421875" style="0" customWidth="1"/>
    <col min="30" max="30" width="7.421875" style="0" customWidth="1"/>
    <col min="31" max="31" width="22.00390625" style="0" customWidth="1"/>
    <col min="33" max="33" width="20.140625" style="0" customWidth="1"/>
  </cols>
  <sheetData>
    <row r="6" spans="12:16" ht="18">
      <c r="L6" s="532"/>
      <c r="M6" s="532"/>
      <c r="N6" s="532"/>
      <c r="O6" s="532"/>
      <c r="P6" s="532"/>
    </row>
    <row r="7" spans="12:16" ht="13.5" thickBot="1">
      <c r="L7" s="533"/>
      <c r="M7" s="533"/>
      <c r="N7" s="533"/>
      <c r="O7" s="533"/>
      <c r="P7" s="533"/>
    </row>
    <row r="8" spans="1:34" ht="23.25">
      <c r="A8" s="720" t="s">
        <v>408</v>
      </c>
      <c r="B8" s="721"/>
      <c r="C8" s="721"/>
      <c r="D8" s="721"/>
      <c r="E8" s="721"/>
      <c r="F8" s="721"/>
      <c r="G8" s="721"/>
      <c r="H8" s="721"/>
      <c r="I8" s="721"/>
      <c r="J8" s="721"/>
      <c r="K8" s="632"/>
      <c r="L8" s="177"/>
      <c r="M8" s="177"/>
      <c r="N8" s="177"/>
      <c r="O8" s="177"/>
      <c r="P8" s="177"/>
      <c r="Q8" s="177"/>
      <c r="R8" s="177"/>
      <c r="S8" s="177"/>
      <c r="T8" s="177"/>
      <c r="U8" s="177"/>
      <c r="V8" s="177"/>
      <c r="W8" s="177"/>
      <c r="X8" s="177"/>
      <c r="Y8" s="177"/>
      <c r="Z8" s="177"/>
      <c r="AA8" s="177"/>
      <c r="AB8" s="177"/>
      <c r="AC8" s="177"/>
      <c r="AD8" s="177"/>
      <c r="AE8" s="674" t="s">
        <v>535</v>
      </c>
      <c r="AF8" s="675"/>
      <c r="AG8" s="675"/>
      <c r="AH8" s="676"/>
    </row>
    <row r="9" spans="1:34" ht="13.5" thickBot="1">
      <c r="A9" s="722"/>
      <c r="B9" s="721"/>
      <c r="C9" s="721"/>
      <c r="D9" s="721"/>
      <c r="E9" s="721"/>
      <c r="F9" s="721"/>
      <c r="G9" s="721"/>
      <c r="H9" s="721"/>
      <c r="I9" s="721"/>
      <c r="J9" s="721"/>
      <c r="K9" s="190"/>
      <c r="L9" s="190"/>
      <c r="M9" s="190"/>
      <c r="N9" s="190"/>
      <c r="O9" s="190"/>
      <c r="P9" s="190"/>
      <c r="Q9" s="190"/>
      <c r="R9" s="190"/>
      <c r="S9" s="190"/>
      <c r="T9" s="190"/>
      <c r="U9" s="190"/>
      <c r="V9" s="190"/>
      <c r="W9" s="190"/>
      <c r="X9" s="190"/>
      <c r="Y9" s="190"/>
      <c r="Z9" s="190"/>
      <c r="AA9" s="190"/>
      <c r="AB9" s="190"/>
      <c r="AC9" s="190"/>
      <c r="AD9" s="190"/>
      <c r="AE9" s="677"/>
      <c r="AF9" s="648"/>
      <c r="AG9" s="648"/>
      <c r="AH9" s="678"/>
    </row>
    <row r="10" spans="8:34" ht="31.5" customHeight="1" thickTop="1">
      <c r="H10" s="259"/>
      <c r="K10" s="755" t="s">
        <v>370</v>
      </c>
      <c r="L10" s="756"/>
      <c r="M10" s="757"/>
      <c r="N10" s="753" t="s">
        <v>390</v>
      </c>
      <c r="O10" s="758"/>
      <c r="P10" s="754"/>
      <c r="Q10" s="753" t="s">
        <v>376</v>
      </c>
      <c r="R10" s="754"/>
      <c r="S10" s="753" t="s">
        <v>392</v>
      </c>
      <c r="T10" s="754"/>
      <c r="U10" s="768" t="s">
        <v>430</v>
      </c>
      <c r="V10" s="746"/>
      <c r="W10" s="753" t="s">
        <v>386</v>
      </c>
      <c r="X10" s="754"/>
      <c r="Y10" s="745" t="s">
        <v>447</v>
      </c>
      <c r="Z10" s="746"/>
      <c r="AA10" s="768" t="s">
        <v>439</v>
      </c>
      <c r="AB10" s="769"/>
      <c r="AC10" s="768" t="s">
        <v>412</v>
      </c>
      <c r="AD10" s="769"/>
      <c r="AE10" s="749" t="s">
        <v>499</v>
      </c>
      <c r="AF10" s="750"/>
      <c r="AG10" s="749" t="s">
        <v>500</v>
      </c>
      <c r="AH10" s="750"/>
    </row>
    <row r="11" spans="11:34" ht="15.75">
      <c r="K11" s="534" t="s">
        <v>429</v>
      </c>
      <c r="L11" s="628" t="s">
        <v>490</v>
      </c>
      <c r="M11" s="629" t="s">
        <v>491</v>
      </c>
      <c r="N11" s="128"/>
      <c r="O11" s="628" t="s">
        <v>490</v>
      </c>
      <c r="P11" s="629" t="s">
        <v>491</v>
      </c>
      <c r="Q11" s="616"/>
      <c r="R11" s="536"/>
      <c r="S11" s="535" t="s">
        <v>393</v>
      </c>
      <c r="T11" s="538">
        <v>45000</v>
      </c>
      <c r="U11" s="128"/>
      <c r="V11" s="536"/>
      <c r="W11" s="535"/>
      <c r="X11" s="537" t="s">
        <v>81</v>
      </c>
      <c r="Y11" s="616"/>
      <c r="Z11" s="536"/>
      <c r="AA11" s="128"/>
      <c r="AB11" s="612" t="s">
        <v>81</v>
      </c>
      <c r="AC11" s="539" t="s">
        <v>453</v>
      </c>
      <c r="AD11" s="667"/>
      <c r="AE11" s="649"/>
      <c r="AF11" s="650"/>
      <c r="AG11" s="649"/>
      <c r="AH11" s="650"/>
    </row>
    <row r="12" spans="11:34" ht="15" customHeight="1">
      <c r="K12" s="540" t="s">
        <v>478</v>
      </c>
      <c r="L12" s="630">
        <v>4.8</v>
      </c>
      <c r="M12" s="631">
        <v>2.3</v>
      </c>
      <c r="N12" s="625" t="s">
        <v>257</v>
      </c>
      <c r="O12" s="620">
        <v>64000</v>
      </c>
      <c r="P12" s="620">
        <v>64000</v>
      </c>
      <c r="Q12" s="616"/>
      <c r="R12" s="536"/>
      <c r="S12" s="535"/>
      <c r="T12" s="538"/>
      <c r="U12" s="646" t="s">
        <v>532</v>
      </c>
      <c r="V12" s="536">
        <v>39</v>
      </c>
      <c r="W12" s="535"/>
      <c r="X12" s="537"/>
      <c r="Y12" s="616"/>
      <c r="Z12" s="536"/>
      <c r="AA12" s="128"/>
      <c r="AB12" s="612"/>
      <c r="AC12" s="539"/>
      <c r="AD12" s="667"/>
      <c r="AE12" s="649"/>
      <c r="AF12" s="650"/>
      <c r="AG12" s="649"/>
      <c r="AH12" s="650"/>
    </row>
    <row r="13" spans="11:34" ht="15" customHeight="1">
      <c r="K13" s="540" t="s">
        <v>479</v>
      </c>
      <c r="L13" s="630">
        <v>5.2</v>
      </c>
      <c r="M13" s="631">
        <v>0</v>
      </c>
      <c r="N13" s="626" t="s">
        <v>473</v>
      </c>
      <c r="O13" s="621">
        <v>76</v>
      </c>
      <c r="P13" s="621">
        <v>127</v>
      </c>
      <c r="Q13" s="611" t="s">
        <v>433</v>
      </c>
      <c r="R13" s="542"/>
      <c r="S13" s="541" t="s">
        <v>394</v>
      </c>
      <c r="T13" s="542"/>
      <c r="U13" s="605" t="s">
        <v>492</v>
      </c>
      <c r="V13" s="542">
        <v>3</v>
      </c>
      <c r="W13" s="541" t="s">
        <v>437</v>
      </c>
      <c r="X13" s="543">
        <v>773</v>
      </c>
      <c r="Y13" s="611" t="s">
        <v>393</v>
      </c>
      <c r="Z13" s="542"/>
      <c r="AA13" s="544" t="s">
        <v>440</v>
      </c>
      <c r="AB13" s="610"/>
      <c r="AC13" s="541" t="s">
        <v>413</v>
      </c>
      <c r="AD13" s="668"/>
      <c r="AE13" s="651" t="s">
        <v>509</v>
      </c>
      <c r="AF13" s="652"/>
      <c r="AG13" s="651" t="s">
        <v>501</v>
      </c>
      <c r="AH13" s="652"/>
    </row>
    <row r="14" spans="11:34" ht="15" customHeight="1">
      <c r="K14" s="540" t="s">
        <v>518</v>
      </c>
      <c r="L14" s="630">
        <v>4.8</v>
      </c>
      <c r="M14" s="631">
        <v>2.2</v>
      </c>
      <c r="N14" s="626" t="s">
        <v>448</v>
      </c>
      <c r="O14" s="621"/>
      <c r="P14" s="621"/>
      <c r="Q14" s="611" t="s">
        <v>434</v>
      </c>
      <c r="R14" s="542"/>
      <c r="S14" s="541" t="s">
        <v>475</v>
      </c>
      <c r="T14" s="542"/>
      <c r="U14" s="541" t="s">
        <v>495</v>
      </c>
      <c r="V14" s="606">
        <v>0.075</v>
      </c>
      <c r="W14" s="541" t="s">
        <v>438</v>
      </c>
      <c r="X14" s="543" t="s">
        <v>464</v>
      </c>
      <c r="Y14" s="611" t="s">
        <v>409</v>
      </c>
      <c r="Z14" s="542"/>
      <c r="AA14" s="545" t="s">
        <v>441</v>
      </c>
      <c r="AB14" s="610"/>
      <c r="AC14" s="546" t="s">
        <v>438</v>
      </c>
      <c r="AD14" s="669"/>
      <c r="AE14" s="649" t="s">
        <v>516</v>
      </c>
      <c r="AF14" s="652"/>
      <c r="AG14" s="653" t="s">
        <v>403</v>
      </c>
      <c r="AH14" s="652"/>
    </row>
    <row r="15" spans="11:34" ht="15" customHeight="1">
      <c r="K15" s="540" t="s">
        <v>480</v>
      </c>
      <c r="L15" s="630">
        <v>6.3</v>
      </c>
      <c r="M15" s="631">
        <v>1.3</v>
      </c>
      <c r="N15" s="626" t="s">
        <v>449</v>
      </c>
      <c r="O15" s="621"/>
      <c r="P15" s="621"/>
      <c r="Q15" s="611" t="s">
        <v>435</v>
      </c>
      <c r="R15" s="542"/>
      <c r="S15" s="541" t="s">
        <v>396</v>
      </c>
      <c r="T15" s="542"/>
      <c r="U15" s="541" t="s">
        <v>496</v>
      </c>
      <c r="V15" s="618">
        <f>V14/365</f>
        <v>0.0002054794520547945</v>
      </c>
      <c r="W15" s="541" t="s">
        <v>387</v>
      </c>
      <c r="X15" s="543">
        <v>264</v>
      </c>
      <c r="Y15" s="611" t="s">
        <v>410</v>
      </c>
      <c r="Z15" s="542"/>
      <c r="AA15" s="545" t="s">
        <v>476</v>
      </c>
      <c r="AB15" s="610"/>
      <c r="AC15" s="541"/>
      <c r="AD15" s="668"/>
      <c r="AE15" s="653" t="s">
        <v>510</v>
      </c>
      <c r="AF15" s="652"/>
      <c r="AG15" s="653" t="s">
        <v>502</v>
      </c>
      <c r="AH15" s="652"/>
    </row>
    <row r="16" spans="11:34" ht="15" customHeight="1">
      <c r="K16" s="540" t="s">
        <v>481</v>
      </c>
      <c r="L16" s="630">
        <v>3.9</v>
      </c>
      <c r="M16" s="631">
        <v>1</v>
      </c>
      <c r="N16" s="626" t="s">
        <v>450</v>
      </c>
      <c r="O16" s="621"/>
      <c r="P16" s="621"/>
      <c r="Q16" s="611" t="s">
        <v>379</v>
      </c>
      <c r="R16" s="542"/>
      <c r="S16" s="541" t="s">
        <v>397</v>
      </c>
      <c r="T16" s="542"/>
      <c r="U16" s="541" t="s">
        <v>392</v>
      </c>
      <c r="V16" s="607">
        <v>4.45</v>
      </c>
      <c r="W16" s="541" t="s">
        <v>465</v>
      </c>
      <c r="X16" s="543">
        <v>359</v>
      </c>
      <c r="Y16" s="611" t="s">
        <v>411</v>
      </c>
      <c r="Z16" s="542"/>
      <c r="AA16" s="545" t="s">
        <v>454</v>
      </c>
      <c r="AB16" s="610"/>
      <c r="AC16" s="541"/>
      <c r="AD16" s="668"/>
      <c r="AE16" s="653" t="s">
        <v>548</v>
      </c>
      <c r="AF16" s="652"/>
      <c r="AG16" s="653" t="s">
        <v>503</v>
      </c>
      <c r="AH16" s="652"/>
    </row>
    <row r="17" spans="11:34" ht="15" customHeight="1">
      <c r="K17" s="540" t="s">
        <v>521</v>
      </c>
      <c r="L17" s="630">
        <v>3.3</v>
      </c>
      <c r="M17" s="631">
        <v>1.1</v>
      </c>
      <c r="N17" s="626" t="s">
        <v>451</v>
      </c>
      <c r="O17" s="621"/>
      <c r="P17" s="621"/>
      <c r="Q17" s="611" t="s">
        <v>380</v>
      </c>
      <c r="R17" s="542"/>
      <c r="S17" s="541" t="s">
        <v>442</v>
      </c>
      <c r="T17" s="542"/>
      <c r="U17" s="541" t="s">
        <v>493</v>
      </c>
      <c r="V17" s="542">
        <v>1300</v>
      </c>
      <c r="W17" s="541" t="s">
        <v>389</v>
      </c>
      <c r="X17" s="543">
        <v>920</v>
      </c>
      <c r="Y17" s="611" t="s">
        <v>26</v>
      </c>
      <c r="Z17" s="542"/>
      <c r="AA17" s="545" t="s">
        <v>455</v>
      </c>
      <c r="AB17" s="610"/>
      <c r="AC17" s="541"/>
      <c r="AD17" s="668"/>
      <c r="AE17" s="653" t="s">
        <v>511</v>
      </c>
      <c r="AF17" s="652"/>
      <c r="AG17" s="653" t="s">
        <v>504</v>
      </c>
      <c r="AH17" s="652"/>
    </row>
    <row r="18" spans="11:34" ht="15" customHeight="1">
      <c r="K18" s="540" t="s">
        <v>522</v>
      </c>
      <c r="L18" s="630">
        <v>4.2</v>
      </c>
      <c r="M18" s="631">
        <v>1.6</v>
      </c>
      <c r="N18" s="626" t="s">
        <v>18</v>
      </c>
      <c r="O18" s="621"/>
      <c r="P18" s="621"/>
      <c r="Q18" s="611" t="s">
        <v>381</v>
      </c>
      <c r="R18" s="542"/>
      <c r="S18" s="541" t="s">
        <v>443</v>
      </c>
      <c r="T18" s="542"/>
      <c r="U18" s="541" t="s">
        <v>494</v>
      </c>
      <c r="V18" s="608">
        <f>V13*(V14/365)*V16*V17</f>
        <v>3.5660958904109594</v>
      </c>
      <c r="W18" s="541" t="s">
        <v>469</v>
      </c>
      <c r="X18" s="547">
        <v>2.8</v>
      </c>
      <c r="Y18" s="611" t="s">
        <v>488</v>
      </c>
      <c r="Z18" s="542"/>
      <c r="AA18" s="545" t="s">
        <v>456</v>
      </c>
      <c r="AB18" s="610"/>
      <c r="AC18" s="541"/>
      <c r="AD18" s="668"/>
      <c r="AE18" s="653" t="s">
        <v>512</v>
      </c>
      <c r="AF18" s="652"/>
      <c r="AG18" s="653" t="s">
        <v>505</v>
      </c>
      <c r="AH18" s="652"/>
    </row>
    <row r="19" spans="11:34" ht="15" customHeight="1">
      <c r="K19" s="540" t="s">
        <v>523</v>
      </c>
      <c r="L19" s="630">
        <v>5.8</v>
      </c>
      <c r="M19" s="631">
        <v>1.3</v>
      </c>
      <c r="N19" s="692" t="s">
        <v>405</v>
      </c>
      <c r="O19" s="621"/>
      <c r="P19" s="621"/>
      <c r="Q19" s="611" t="s">
        <v>382</v>
      </c>
      <c r="R19" s="542"/>
      <c r="S19" s="541" t="s">
        <v>444</v>
      </c>
      <c r="T19" s="542"/>
      <c r="U19" s="541" t="s">
        <v>497</v>
      </c>
      <c r="V19" s="609">
        <f>V18/V17</f>
        <v>0.002743150684931507</v>
      </c>
      <c r="W19" s="541" t="s">
        <v>467</v>
      </c>
      <c r="X19" s="548">
        <f>D26</f>
        <v>1400</v>
      </c>
      <c r="Y19" s="611" t="s">
        <v>489</v>
      </c>
      <c r="Z19" s="542"/>
      <c r="AA19" s="540"/>
      <c r="AB19" s="610"/>
      <c r="AC19" s="541"/>
      <c r="AD19" s="668"/>
      <c r="AE19" s="653" t="s">
        <v>504</v>
      </c>
      <c r="AF19" s="652"/>
      <c r="AG19" s="653" t="s">
        <v>506</v>
      </c>
      <c r="AH19" s="652"/>
    </row>
    <row r="20" spans="11:34" ht="15" customHeight="1">
      <c r="K20" s="540" t="s">
        <v>482</v>
      </c>
      <c r="L20" s="630">
        <v>7.3</v>
      </c>
      <c r="M20" s="631">
        <v>1</v>
      </c>
      <c r="N20" s="626" t="s">
        <v>406</v>
      </c>
      <c r="O20" s="621"/>
      <c r="P20" s="621"/>
      <c r="Q20" s="611" t="s">
        <v>383</v>
      </c>
      <c r="R20" s="542"/>
      <c r="S20" s="541" t="s">
        <v>445</v>
      </c>
      <c r="T20" s="542"/>
      <c r="U20" s="541"/>
      <c r="V20" s="542"/>
      <c r="W20" s="541" t="s">
        <v>468</v>
      </c>
      <c r="X20" s="548">
        <f>X18*X19</f>
        <v>3919.9999999999995</v>
      </c>
      <c r="Y20" s="611" t="s">
        <v>517</v>
      </c>
      <c r="Z20" s="542"/>
      <c r="AA20" s="545"/>
      <c r="AB20" s="613"/>
      <c r="AC20" s="541"/>
      <c r="AD20" s="668"/>
      <c r="AE20" s="653" t="s">
        <v>513</v>
      </c>
      <c r="AF20" s="654"/>
      <c r="AG20" s="653" t="s">
        <v>507</v>
      </c>
      <c r="AH20" s="654"/>
    </row>
    <row r="21" spans="11:34" ht="15" customHeight="1">
      <c r="K21" s="540" t="s">
        <v>483</v>
      </c>
      <c r="L21" s="630">
        <v>3.8</v>
      </c>
      <c r="M21" s="631">
        <v>4</v>
      </c>
      <c r="N21" s="626" t="s">
        <v>407</v>
      </c>
      <c r="O21" s="621"/>
      <c r="P21" s="621"/>
      <c r="Q21" s="611" t="s">
        <v>436</v>
      </c>
      <c r="R21" s="542"/>
      <c r="S21" s="541" t="s">
        <v>446</v>
      </c>
      <c r="T21" s="542"/>
      <c r="U21" s="541"/>
      <c r="V21" s="542"/>
      <c r="W21" s="128"/>
      <c r="X21" s="131"/>
      <c r="Y21" s="611" t="s">
        <v>526</v>
      </c>
      <c r="Z21" s="542"/>
      <c r="AA21" s="545"/>
      <c r="AB21" s="613"/>
      <c r="AC21" s="541"/>
      <c r="AD21" s="668"/>
      <c r="AE21" s="653" t="s">
        <v>514</v>
      </c>
      <c r="AF21" s="654"/>
      <c r="AG21" s="653" t="s">
        <v>508</v>
      </c>
      <c r="AH21" s="654"/>
    </row>
    <row r="22" spans="11:34" ht="15" customHeight="1">
      <c r="K22" s="641" t="s">
        <v>528</v>
      </c>
      <c r="L22" s="642">
        <f>SUM(L12:L21)</f>
        <v>49.39999999999999</v>
      </c>
      <c r="M22" s="643">
        <f>SUM(M12:M21)</f>
        <v>15.8</v>
      </c>
      <c r="N22" s="626" t="s">
        <v>452</v>
      </c>
      <c r="O22" s="621"/>
      <c r="P22" s="621"/>
      <c r="Q22" s="611" t="s">
        <v>498</v>
      </c>
      <c r="R22" s="542"/>
      <c r="S22" s="541" t="s">
        <v>487</v>
      </c>
      <c r="T22" s="542"/>
      <c r="U22" s="541"/>
      <c r="V22" s="542"/>
      <c r="W22" s="541"/>
      <c r="X22" s="543"/>
      <c r="Y22" s="611" t="s">
        <v>527</v>
      </c>
      <c r="Z22" s="542"/>
      <c r="AA22" s="545"/>
      <c r="AB22" s="613"/>
      <c r="AC22" s="541"/>
      <c r="AD22" s="668"/>
      <c r="AE22" s="653" t="s">
        <v>515</v>
      </c>
      <c r="AF22" s="654"/>
      <c r="AG22" s="653" t="s">
        <v>524</v>
      </c>
      <c r="AH22" s="654"/>
    </row>
    <row r="23" spans="11:34" ht="15" customHeight="1">
      <c r="K23" s="641" t="s">
        <v>519</v>
      </c>
      <c r="L23" s="644">
        <v>25.96</v>
      </c>
      <c r="M23" s="645">
        <f>L23</f>
        <v>25.96</v>
      </c>
      <c r="N23" s="692" t="s">
        <v>431</v>
      </c>
      <c r="O23" s="621"/>
      <c r="P23" s="621"/>
      <c r="Q23" s="611"/>
      <c r="R23" s="542"/>
      <c r="S23" s="541" t="s">
        <v>470</v>
      </c>
      <c r="T23" s="543">
        <f>T11</f>
        <v>45000</v>
      </c>
      <c r="U23" s="541"/>
      <c r="V23" s="542"/>
      <c r="W23" s="541" t="s">
        <v>470</v>
      </c>
      <c r="X23" s="543">
        <f>X13+X15+X16+X17</f>
        <v>2316</v>
      </c>
      <c r="Y23" s="611"/>
      <c r="Z23" s="542"/>
      <c r="AA23" s="541" t="s">
        <v>477</v>
      </c>
      <c r="AB23" s="614">
        <v>19789</v>
      </c>
      <c r="AC23" s="541"/>
      <c r="AD23" s="668"/>
      <c r="AE23" s="655"/>
      <c r="AF23" s="656"/>
      <c r="AG23" s="655" t="s">
        <v>26</v>
      </c>
      <c r="AH23" s="656"/>
    </row>
    <row r="24" spans="2:34" ht="15" customHeight="1" thickBot="1">
      <c r="B24" s="522"/>
      <c r="C24" s="522"/>
      <c r="D24" s="522"/>
      <c r="E24" s="522"/>
      <c r="F24" s="522"/>
      <c r="G24" s="522"/>
      <c r="H24" s="522"/>
      <c r="I24" s="522"/>
      <c r="J24" s="522"/>
      <c r="K24" s="641" t="s">
        <v>520</v>
      </c>
      <c r="L24" s="644">
        <f>L22/60*L23</f>
        <v>21.37373333333333</v>
      </c>
      <c r="M24" s="645">
        <f>M22/60*M23</f>
        <v>6.8361333333333345</v>
      </c>
      <c r="N24" s="693" t="s">
        <v>432</v>
      </c>
      <c r="O24" s="619"/>
      <c r="P24" s="619"/>
      <c r="Q24" s="617"/>
      <c r="R24" s="549"/>
      <c r="S24" s="550"/>
      <c r="T24" s="551"/>
      <c r="U24" s="550"/>
      <c r="V24" s="549"/>
      <c r="W24" s="550" t="s">
        <v>466</v>
      </c>
      <c r="X24" s="551">
        <f>X23/(X20*12)</f>
        <v>0.04923469387755103</v>
      </c>
      <c r="Y24" s="617"/>
      <c r="Z24" s="549"/>
      <c r="AA24" s="552"/>
      <c r="AB24" s="615"/>
      <c r="AC24" s="550"/>
      <c r="AD24" s="670"/>
      <c r="AE24" s="657"/>
      <c r="AF24" s="658"/>
      <c r="AG24" s="657" t="s">
        <v>525</v>
      </c>
      <c r="AH24" s="658"/>
    </row>
    <row r="25" spans="1:34" ht="63">
      <c r="A25" s="585"/>
      <c r="B25" s="599" t="s">
        <v>418</v>
      </c>
      <c r="C25" s="599" t="s">
        <v>419</v>
      </c>
      <c r="D25" s="599" t="s">
        <v>420</v>
      </c>
      <c r="E25" s="599"/>
      <c r="F25" s="599" t="s">
        <v>422</v>
      </c>
      <c r="G25" s="599" t="s">
        <v>423</v>
      </c>
      <c r="H25" s="599" t="s">
        <v>424</v>
      </c>
      <c r="I25" s="599" t="s">
        <v>427</v>
      </c>
      <c r="J25" s="586"/>
      <c r="K25" s="129" t="s">
        <v>529</v>
      </c>
      <c r="L25" s="131"/>
      <c r="M25" s="129"/>
      <c r="N25" s="128" t="s">
        <v>459</v>
      </c>
      <c r="O25" s="622">
        <f>52*5</f>
        <v>260</v>
      </c>
      <c r="P25" s="622">
        <f>52*5</f>
        <v>260</v>
      </c>
      <c r="Q25" s="128" t="s">
        <v>461</v>
      </c>
      <c r="R25" s="553">
        <f>'Truck Cost'!F30</f>
        <v>256.59713064713065</v>
      </c>
      <c r="S25" s="128"/>
      <c r="T25" s="131"/>
      <c r="U25" s="759" t="s">
        <v>533</v>
      </c>
      <c r="V25" s="760"/>
      <c r="W25" s="128" t="s">
        <v>463</v>
      </c>
      <c r="X25" s="131"/>
      <c r="Y25" s="128"/>
      <c r="Z25" s="131"/>
      <c r="AA25" s="128"/>
      <c r="AB25" s="131"/>
      <c r="AC25" s="759" t="s">
        <v>534</v>
      </c>
      <c r="AD25" s="765"/>
      <c r="AE25" s="649"/>
      <c r="AF25" s="659"/>
      <c r="AG25" s="649"/>
      <c r="AH25" s="659"/>
    </row>
    <row r="26" spans="1:34" ht="15.75">
      <c r="A26" s="587" t="s">
        <v>486</v>
      </c>
      <c r="B26" s="639">
        <v>550</v>
      </c>
      <c r="C26" s="639">
        <v>4000</v>
      </c>
      <c r="D26" s="639">
        <v>1400</v>
      </c>
      <c r="E26" s="576"/>
      <c r="F26" s="639">
        <v>0.41</v>
      </c>
      <c r="G26" s="639">
        <v>1.15</v>
      </c>
      <c r="H26" s="639">
        <v>0.33</v>
      </c>
      <c r="I26" s="640">
        <v>0.17</v>
      </c>
      <c r="J26" s="589"/>
      <c r="K26" s="129" t="s">
        <v>530</v>
      </c>
      <c r="L26" s="131"/>
      <c r="M26" s="129"/>
      <c r="N26" s="128" t="s">
        <v>460</v>
      </c>
      <c r="O26" s="623">
        <f>O12/O25</f>
        <v>246.15384615384616</v>
      </c>
      <c r="P26" s="623">
        <f>P12/P25</f>
        <v>246.15384615384616</v>
      </c>
      <c r="Q26" s="128" t="s">
        <v>462</v>
      </c>
      <c r="R26" s="553">
        <f>'Driver Cost'!D16</f>
        <v>21.6</v>
      </c>
      <c r="S26" s="128"/>
      <c r="T26" s="131"/>
      <c r="U26" s="761"/>
      <c r="V26" s="762"/>
      <c r="W26" s="128"/>
      <c r="X26" s="131"/>
      <c r="Y26" s="128"/>
      <c r="Z26" s="131"/>
      <c r="AA26" s="128"/>
      <c r="AB26" s="131"/>
      <c r="AC26" s="761"/>
      <c r="AD26" s="766"/>
      <c r="AE26" s="649"/>
      <c r="AF26" s="659"/>
      <c r="AG26" s="649"/>
      <c r="AH26" s="659"/>
    </row>
    <row r="27" spans="1:34" ht="16.5" thickBot="1">
      <c r="A27" s="590"/>
      <c r="B27" s="588"/>
      <c r="C27" s="588"/>
      <c r="D27" s="588"/>
      <c r="E27" s="588"/>
      <c r="F27" s="588"/>
      <c r="G27" s="588"/>
      <c r="H27" s="588"/>
      <c r="I27" s="588"/>
      <c r="J27" s="591"/>
      <c r="K27" s="129" t="s">
        <v>531</v>
      </c>
      <c r="L27" s="131"/>
      <c r="M27" s="129"/>
      <c r="N27" s="128" t="s">
        <v>472</v>
      </c>
      <c r="O27" s="624">
        <f>O26/O13</f>
        <v>3.2388663967611335</v>
      </c>
      <c r="P27" s="624">
        <f>P26/P13</f>
        <v>1.9382192610539069</v>
      </c>
      <c r="Q27" s="128"/>
      <c r="R27" s="131"/>
      <c r="S27" s="128"/>
      <c r="T27" s="131"/>
      <c r="U27" s="763"/>
      <c r="V27" s="764"/>
      <c r="W27" s="128"/>
      <c r="X27" s="131"/>
      <c r="Y27" s="128"/>
      <c r="Z27" s="131"/>
      <c r="AA27" s="128"/>
      <c r="AB27" s="131"/>
      <c r="AC27" s="763"/>
      <c r="AD27" s="767"/>
      <c r="AE27" s="649"/>
      <c r="AF27" s="659"/>
      <c r="AG27" s="649"/>
      <c r="AH27" s="659"/>
    </row>
    <row r="28" spans="1:34" ht="36">
      <c r="A28" s="590"/>
      <c r="B28" s="588"/>
      <c r="C28" s="588"/>
      <c r="D28" s="588"/>
      <c r="E28" s="588"/>
      <c r="F28" s="588"/>
      <c r="G28" s="588"/>
      <c r="H28" s="588"/>
      <c r="I28" s="588"/>
      <c r="J28" s="575" t="s">
        <v>256</v>
      </c>
      <c r="K28" s="770" t="s">
        <v>370</v>
      </c>
      <c r="L28" s="771"/>
      <c r="M28" s="600"/>
      <c r="N28" s="772" t="s">
        <v>390</v>
      </c>
      <c r="O28" s="771"/>
      <c r="P28" s="601"/>
      <c r="Q28" s="772" t="s">
        <v>376</v>
      </c>
      <c r="R28" s="771"/>
      <c r="S28" s="772" t="s">
        <v>392</v>
      </c>
      <c r="T28" s="771"/>
      <c r="U28" s="747" t="s">
        <v>430</v>
      </c>
      <c r="V28" s="748"/>
      <c r="W28" s="772" t="s">
        <v>386</v>
      </c>
      <c r="X28" s="771"/>
      <c r="Y28" s="747" t="s">
        <v>447</v>
      </c>
      <c r="Z28" s="748"/>
      <c r="AA28" s="747" t="s">
        <v>439</v>
      </c>
      <c r="AB28" s="748"/>
      <c r="AC28" s="747" t="s">
        <v>412</v>
      </c>
      <c r="AD28" s="773"/>
      <c r="AE28" s="751"/>
      <c r="AF28" s="752"/>
      <c r="AG28" s="751"/>
      <c r="AH28" s="752"/>
    </row>
    <row r="29" spans="1:34" ht="63">
      <c r="A29" s="592" t="s">
        <v>416</v>
      </c>
      <c r="B29" s="577" t="s">
        <v>417</v>
      </c>
      <c r="C29" s="577" t="s">
        <v>428</v>
      </c>
      <c r="D29" s="577" t="s">
        <v>485</v>
      </c>
      <c r="E29" s="577" t="s">
        <v>114</v>
      </c>
      <c r="F29" s="577" t="s">
        <v>421</v>
      </c>
      <c r="G29" s="577" t="s">
        <v>168</v>
      </c>
      <c r="H29" s="577" t="s">
        <v>425</v>
      </c>
      <c r="I29" s="577" t="s">
        <v>426</v>
      </c>
      <c r="J29" s="578" t="s">
        <v>458</v>
      </c>
      <c r="K29" s="558" t="s">
        <v>457</v>
      </c>
      <c r="L29" s="555" t="s">
        <v>458</v>
      </c>
      <c r="M29" s="602"/>
      <c r="N29" s="554" t="s">
        <v>474</v>
      </c>
      <c r="O29" s="555" t="s">
        <v>458</v>
      </c>
      <c r="P29" s="627"/>
      <c r="Q29" s="554" t="s">
        <v>457</v>
      </c>
      <c r="R29" s="555" t="s">
        <v>458</v>
      </c>
      <c r="S29" s="554" t="s">
        <v>457</v>
      </c>
      <c r="T29" s="555" t="s">
        <v>458</v>
      </c>
      <c r="U29" s="556"/>
      <c r="V29" s="555" t="s">
        <v>458</v>
      </c>
      <c r="W29" s="554" t="s">
        <v>457</v>
      </c>
      <c r="X29" s="555" t="s">
        <v>458</v>
      </c>
      <c r="Y29" s="556"/>
      <c r="Z29" s="557"/>
      <c r="AA29" s="554" t="s">
        <v>457</v>
      </c>
      <c r="AB29" s="555" t="s">
        <v>458</v>
      </c>
      <c r="AC29" s="556"/>
      <c r="AD29" s="671"/>
      <c r="AE29" s="660" t="s">
        <v>457</v>
      </c>
      <c r="AF29" s="661" t="s">
        <v>458</v>
      </c>
      <c r="AG29" s="660" t="s">
        <v>457</v>
      </c>
      <c r="AH29" s="661" t="s">
        <v>458</v>
      </c>
    </row>
    <row r="30" spans="1:34" ht="24.75" customHeight="1">
      <c r="A30" s="593">
        <v>8</v>
      </c>
      <c r="B30" s="579">
        <v>13</v>
      </c>
      <c r="C30" s="580">
        <f>G30*I$26/F30</f>
        <v>124.59060402684565</v>
      </c>
      <c r="D30" s="579">
        <f>E30*D$26</f>
        <v>672</v>
      </c>
      <c r="E30" s="581">
        <v>0.48</v>
      </c>
      <c r="F30" s="582">
        <f aca="true" t="shared" si="0" ref="F30:F38">G$26+F$26*B30+H$26*B30+G$26</f>
        <v>11.92</v>
      </c>
      <c r="G30" s="579">
        <f aca="true" t="shared" si="1" ref="G30:G38">E30*D$26*B30</f>
        <v>8736</v>
      </c>
      <c r="H30" s="579">
        <f aca="true" t="shared" si="2" ref="H30:H38">G30*A30</f>
        <v>69888</v>
      </c>
      <c r="I30" s="581">
        <f>F30/10</f>
        <v>1.192</v>
      </c>
      <c r="J30" s="583">
        <f>L30+O30+R30+X30+T30+AB30+V30+Z30+AD30</f>
        <v>0.20204099734081374</v>
      </c>
      <c r="K30" s="560">
        <f aca="true" t="shared" si="3" ref="K30:K38">L$24*B30</f>
        <v>277.8585333333333</v>
      </c>
      <c r="L30" s="561">
        <f aca="true" t="shared" si="4" ref="L30:L38">K30/G30</f>
        <v>0.03180615079365079</v>
      </c>
      <c r="M30" s="603"/>
      <c r="N30" s="564">
        <f>B30*A30/100</f>
        <v>1.04</v>
      </c>
      <c r="O30" s="561">
        <f>O$27*B30/G30</f>
        <v>0.004819741661846924</v>
      </c>
      <c r="P30" s="561"/>
      <c r="Q30" s="565">
        <f>IF(F30&lt;8,R$26*F30,(R$26*8)+(F30-8)*R$26*1.5)+R$25*I30</f>
        <v>605.6717797313797</v>
      </c>
      <c r="R30" s="561">
        <f>Q30/G30</f>
        <v>0.06933056086668724</v>
      </c>
      <c r="S30" s="565" t="s">
        <v>471</v>
      </c>
      <c r="T30" s="561">
        <f aca="true" t="shared" si="5" ref="T30:T38">T$23/(H30*260)</f>
        <v>0.0024764898562975486</v>
      </c>
      <c r="U30" s="566" t="s">
        <v>430</v>
      </c>
      <c r="V30" s="647">
        <f>V12*V15*V16</f>
        <v>0.035660958904109585</v>
      </c>
      <c r="W30" s="565" t="s">
        <v>471</v>
      </c>
      <c r="X30" s="561">
        <f aca="true" t="shared" si="6" ref="X30:X38">X$24</f>
        <v>0.04923469387755103</v>
      </c>
      <c r="Y30" s="566"/>
      <c r="Z30" s="568"/>
      <c r="AA30" s="565" t="s">
        <v>471</v>
      </c>
      <c r="AB30" s="561">
        <f aca="true" t="shared" si="7" ref="AB30:AB38">AB$23/(G30*260)</f>
        <v>0.008712401380670611</v>
      </c>
      <c r="AC30" s="566"/>
      <c r="AD30" s="672"/>
      <c r="AE30" s="662" t="s">
        <v>471</v>
      </c>
      <c r="AF30" s="663">
        <f aca="true" t="shared" si="8" ref="AF30:AF38">AF$23/(C30*260)</f>
        <v>0</v>
      </c>
      <c r="AG30" s="662" t="s">
        <v>471</v>
      </c>
      <c r="AH30" s="663">
        <f aca="true" t="shared" si="9" ref="AH30:AH38">AH$23/(E30*260)</f>
        <v>0</v>
      </c>
    </row>
    <row r="31" spans="1:34" ht="24" customHeight="1">
      <c r="A31" s="593">
        <v>8</v>
      </c>
      <c r="B31" s="579">
        <v>10</v>
      </c>
      <c r="C31" s="580">
        <f aca="true" t="shared" si="10" ref="C31:C38">G31*I$26/F31</f>
        <v>149.6701030927835</v>
      </c>
      <c r="D31" s="579">
        <f aca="true" t="shared" si="11" ref="D31:D38">E31*D$26</f>
        <v>854</v>
      </c>
      <c r="E31" s="581">
        <v>0.61</v>
      </c>
      <c r="F31" s="582">
        <f t="shared" si="0"/>
        <v>9.700000000000001</v>
      </c>
      <c r="G31" s="579">
        <f t="shared" si="1"/>
        <v>8540</v>
      </c>
      <c r="H31" s="579">
        <f t="shared" si="2"/>
        <v>68320</v>
      </c>
      <c r="I31" s="581">
        <f aca="true" t="shared" si="12" ref="I31:I38">F31/10</f>
        <v>0.9700000000000001</v>
      </c>
      <c r="J31" s="583">
        <f>L31+O31+R31+X31+T31+AB31+V31+Z31+AD31</f>
        <v>0.14532970182542168</v>
      </c>
      <c r="K31" s="560">
        <f t="shared" si="3"/>
        <v>213.7373333333333</v>
      </c>
      <c r="L31" s="561">
        <f t="shared" si="4"/>
        <v>0.025027790788446524</v>
      </c>
      <c r="M31" s="603"/>
      <c r="N31" s="564">
        <f aca="true" t="shared" si="13" ref="N31:N38">B31*A31/100</f>
        <v>0.8</v>
      </c>
      <c r="O31" s="561">
        <f aca="true" t="shared" si="14" ref="O31:O38">O$27*B31/G31</f>
        <v>0.0037925836027647934</v>
      </c>
      <c r="P31" s="561"/>
      <c r="Q31" s="565">
        <f aca="true" t="shared" si="15" ref="Q31:Q38">IF(F31&lt;8,R$26*F31,(R$26*8)+(F31-8)*R$26*1.5)+R$25*I31</f>
        <v>476.7792167277168</v>
      </c>
      <c r="R31" s="561">
        <f aca="true" t="shared" si="16" ref="R31:R38">Q31/G31</f>
        <v>0.05582894809458042</v>
      </c>
      <c r="S31" s="565" t="s">
        <v>471</v>
      </c>
      <c r="T31" s="561">
        <f t="shared" si="5"/>
        <v>0.0025333273284092956</v>
      </c>
      <c r="U31" s="566"/>
      <c r="V31" s="567"/>
      <c r="W31" s="565" t="s">
        <v>471</v>
      </c>
      <c r="X31" s="561">
        <f t="shared" si="6"/>
        <v>0.04923469387755103</v>
      </c>
      <c r="Y31" s="566"/>
      <c r="Z31" s="568"/>
      <c r="AA31" s="565" t="s">
        <v>471</v>
      </c>
      <c r="AB31" s="561">
        <f t="shared" si="7"/>
        <v>0.008912358133669609</v>
      </c>
      <c r="AC31" s="566"/>
      <c r="AD31" s="672"/>
      <c r="AE31" s="662" t="s">
        <v>471</v>
      </c>
      <c r="AF31" s="663">
        <f t="shared" si="8"/>
        <v>0</v>
      </c>
      <c r="AG31" s="662" t="s">
        <v>471</v>
      </c>
      <c r="AH31" s="663">
        <f t="shared" si="9"/>
        <v>0</v>
      </c>
    </row>
    <row r="32" spans="1:34" ht="21.75" customHeight="1" thickBot="1">
      <c r="A32" s="594">
        <v>8</v>
      </c>
      <c r="B32" s="595">
        <v>8</v>
      </c>
      <c r="C32" s="596">
        <f t="shared" si="10"/>
        <v>178.35523114355232</v>
      </c>
      <c r="D32" s="595">
        <f t="shared" si="11"/>
        <v>1078</v>
      </c>
      <c r="E32" s="597">
        <v>0.77</v>
      </c>
      <c r="F32" s="598">
        <f t="shared" si="0"/>
        <v>8.22</v>
      </c>
      <c r="G32" s="595">
        <f t="shared" si="1"/>
        <v>8624</v>
      </c>
      <c r="H32" s="595">
        <f t="shared" si="2"/>
        <v>68992</v>
      </c>
      <c r="I32" s="597">
        <f t="shared" si="12"/>
        <v>0.8220000000000001</v>
      </c>
      <c r="J32" s="584">
        <f>L32+O32+R32+X32+T32+AB32+V32+Z32+AD32</f>
        <v>0.12872191478187048</v>
      </c>
      <c r="K32" s="562">
        <f t="shared" si="3"/>
        <v>170.98986666666664</v>
      </c>
      <c r="L32" s="563">
        <f t="shared" si="4"/>
        <v>0.019827210884353737</v>
      </c>
      <c r="M32" s="604"/>
      <c r="N32" s="569">
        <f t="shared" si="13"/>
        <v>0.64</v>
      </c>
      <c r="O32" s="563">
        <f t="shared" si="14"/>
        <v>0.003004514282709771</v>
      </c>
      <c r="P32" s="563"/>
      <c r="Q32" s="570">
        <f t="shared" si="15"/>
        <v>390.85084139194146</v>
      </c>
      <c r="R32" s="563">
        <f t="shared" si="16"/>
        <v>0.04532129422448301</v>
      </c>
      <c r="S32" s="570" t="s">
        <v>471</v>
      </c>
      <c r="T32" s="563">
        <f t="shared" si="5"/>
        <v>0.002508652062223491</v>
      </c>
      <c r="U32" s="571"/>
      <c r="V32" s="572"/>
      <c r="W32" s="570" t="s">
        <v>471</v>
      </c>
      <c r="X32" s="563">
        <f t="shared" si="6"/>
        <v>0.04923469387755103</v>
      </c>
      <c r="Y32" s="571"/>
      <c r="Z32" s="573"/>
      <c r="AA32" s="570" t="s">
        <v>471</v>
      </c>
      <c r="AB32" s="563">
        <f t="shared" si="7"/>
        <v>0.00882554945054945</v>
      </c>
      <c r="AC32" s="571"/>
      <c r="AD32" s="673"/>
      <c r="AE32" s="664" t="s">
        <v>471</v>
      </c>
      <c r="AF32" s="665">
        <f t="shared" si="8"/>
        <v>0</v>
      </c>
      <c r="AG32" s="664" t="s">
        <v>471</v>
      </c>
      <c r="AH32" s="665">
        <f t="shared" si="9"/>
        <v>0</v>
      </c>
    </row>
    <row r="33" spans="1:34" ht="12.75" hidden="1">
      <c r="A33" s="36">
        <v>15</v>
      </c>
      <c r="B33" s="31">
        <v>13</v>
      </c>
      <c r="C33" s="633">
        <f t="shared" si="10"/>
        <v>124.59060402684565</v>
      </c>
      <c r="D33" s="31">
        <f t="shared" si="11"/>
        <v>672</v>
      </c>
      <c r="E33" s="293">
        <v>0.48</v>
      </c>
      <c r="F33" s="299">
        <f t="shared" si="0"/>
        <v>11.92</v>
      </c>
      <c r="G33" s="31">
        <f t="shared" si="1"/>
        <v>8736</v>
      </c>
      <c r="H33" s="31">
        <f t="shared" si="2"/>
        <v>131040</v>
      </c>
      <c r="I33" s="293">
        <f t="shared" si="12"/>
        <v>1.192</v>
      </c>
      <c r="J33" s="303"/>
      <c r="K33" s="484">
        <f t="shared" si="3"/>
        <v>277.8585333333333</v>
      </c>
      <c r="L33" s="530">
        <f t="shared" si="4"/>
        <v>0.03180615079365079</v>
      </c>
      <c r="M33" s="530"/>
      <c r="N33" s="18">
        <f t="shared" si="13"/>
        <v>1.95</v>
      </c>
      <c r="O33" s="530">
        <f t="shared" si="14"/>
        <v>0.004819741661846924</v>
      </c>
      <c r="P33" s="530"/>
      <c r="Q33" s="484">
        <f t="shared" si="15"/>
        <v>605.6717797313797</v>
      </c>
      <c r="R33" s="530">
        <f t="shared" si="16"/>
        <v>0.06933056086668724</v>
      </c>
      <c r="S33" s="484" t="s">
        <v>471</v>
      </c>
      <c r="T33" s="530">
        <f t="shared" si="5"/>
        <v>0.0013207945900253592</v>
      </c>
      <c r="V33" s="531">
        <f aca="true" t="shared" si="17" ref="V33:V38">AB33+T33+X33+R33+O33+L33</f>
        <v>0.16522434317043194</v>
      </c>
      <c r="W33" s="484" t="s">
        <v>471</v>
      </c>
      <c r="X33" s="530">
        <f t="shared" si="6"/>
        <v>0.04923469387755103</v>
      </c>
      <c r="AA33" s="484" t="s">
        <v>471</v>
      </c>
      <c r="AB33" s="530">
        <f t="shared" si="7"/>
        <v>0.008712401380670611</v>
      </c>
      <c r="AE33" s="679" t="s">
        <v>471</v>
      </c>
      <c r="AF33" s="680">
        <f t="shared" si="8"/>
        <v>0</v>
      </c>
      <c r="AG33" s="681" t="s">
        <v>471</v>
      </c>
      <c r="AH33" s="682">
        <f t="shared" si="9"/>
        <v>0</v>
      </c>
    </row>
    <row r="34" spans="1:34" ht="12.75" hidden="1">
      <c r="A34" s="36">
        <v>15</v>
      </c>
      <c r="B34" s="31">
        <v>10</v>
      </c>
      <c r="C34" s="633">
        <f t="shared" si="10"/>
        <v>149.6701030927835</v>
      </c>
      <c r="D34" s="31">
        <f t="shared" si="11"/>
        <v>854</v>
      </c>
      <c r="E34" s="293">
        <v>0.61</v>
      </c>
      <c r="F34" s="299">
        <f t="shared" si="0"/>
        <v>9.700000000000001</v>
      </c>
      <c r="G34" s="31">
        <f t="shared" si="1"/>
        <v>8540</v>
      </c>
      <c r="H34" s="31">
        <f t="shared" si="2"/>
        <v>128100</v>
      </c>
      <c r="I34" s="293">
        <f t="shared" si="12"/>
        <v>0.9700000000000001</v>
      </c>
      <c r="J34" s="303"/>
      <c r="K34" s="484">
        <f t="shared" si="3"/>
        <v>213.7373333333333</v>
      </c>
      <c r="L34" s="530">
        <f t="shared" si="4"/>
        <v>0.025027790788446524</v>
      </c>
      <c r="M34" s="530"/>
      <c r="N34" s="18">
        <f t="shared" si="13"/>
        <v>1.5</v>
      </c>
      <c r="O34" s="530">
        <f t="shared" si="14"/>
        <v>0.0037925836027647934</v>
      </c>
      <c r="P34" s="530"/>
      <c r="Q34" s="484">
        <f t="shared" si="15"/>
        <v>476.7792167277168</v>
      </c>
      <c r="R34" s="530">
        <f t="shared" si="16"/>
        <v>0.05582894809458042</v>
      </c>
      <c r="S34" s="484" t="s">
        <v>471</v>
      </c>
      <c r="T34" s="530">
        <f t="shared" si="5"/>
        <v>0.0013511079084849577</v>
      </c>
      <c r="V34" s="531">
        <f t="shared" si="17"/>
        <v>0.14414748240549735</v>
      </c>
      <c r="W34" s="484" t="s">
        <v>471</v>
      </c>
      <c r="X34" s="530">
        <f t="shared" si="6"/>
        <v>0.04923469387755103</v>
      </c>
      <c r="AA34" s="484" t="s">
        <v>471</v>
      </c>
      <c r="AB34" s="530">
        <f t="shared" si="7"/>
        <v>0.008912358133669609</v>
      </c>
      <c r="AE34" s="679" t="s">
        <v>471</v>
      </c>
      <c r="AF34" s="680">
        <f t="shared" si="8"/>
        <v>0</v>
      </c>
      <c r="AG34" s="681" t="s">
        <v>471</v>
      </c>
      <c r="AH34" s="682">
        <f t="shared" si="9"/>
        <v>0</v>
      </c>
    </row>
    <row r="35" spans="1:34" ht="12.75" hidden="1">
      <c r="A35" s="36">
        <v>15</v>
      </c>
      <c r="B35" s="31">
        <v>8</v>
      </c>
      <c r="C35" s="633">
        <f t="shared" si="10"/>
        <v>178.35523114355232</v>
      </c>
      <c r="D35" s="31">
        <f t="shared" si="11"/>
        <v>1078</v>
      </c>
      <c r="E35" s="293">
        <v>0.77</v>
      </c>
      <c r="F35" s="299">
        <f t="shared" si="0"/>
        <v>8.22</v>
      </c>
      <c r="G35" s="31">
        <f t="shared" si="1"/>
        <v>8624</v>
      </c>
      <c r="H35" s="31">
        <f t="shared" si="2"/>
        <v>129360</v>
      </c>
      <c r="I35" s="293">
        <f t="shared" si="12"/>
        <v>0.8220000000000001</v>
      </c>
      <c r="J35" s="303"/>
      <c r="K35" s="484">
        <f t="shared" si="3"/>
        <v>170.98986666666664</v>
      </c>
      <c r="L35" s="530">
        <f t="shared" si="4"/>
        <v>0.019827210884353737</v>
      </c>
      <c r="M35" s="530"/>
      <c r="N35" s="18">
        <f t="shared" si="13"/>
        <v>1.2</v>
      </c>
      <c r="O35" s="530">
        <f t="shared" si="14"/>
        <v>0.003004514282709771</v>
      </c>
      <c r="P35" s="530"/>
      <c r="Q35" s="484">
        <f t="shared" si="15"/>
        <v>390.85084139194146</v>
      </c>
      <c r="R35" s="530">
        <f t="shared" si="16"/>
        <v>0.04532129422448301</v>
      </c>
      <c r="S35" s="484" t="s">
        <v>471</v>
      </c>
      <c r="T35" s="530">
        <f t="shared" si="5"/>
        <v>0.001337947766519195</v>
      </c>
      <c r="V35" s="531">
        <f t="shared" si="17"/>
        <v>0.1275512104861662</v>
      </c>
      <c r="W35" s="484" t="s">
        <v>471</v>
      </c>
      <c r="X35" s="530">
        <f t="shared" si="6"/>
        <v>0.04923469387755103</v>
      </c>
      <c r="AA35" s="484" t="s">
        <v>471</v>
      </c>
      <c r="AB35" s="530">
        <f t="shared" si="7"/>
        <v>0.00882554945054945</v>
      </c>
      <c r="AE35" s="679" t="s">
        <v>471</v>
      </c>
      <c r="AF35" s="680">
        <f t="shared" si="8"/>
        <v>0</v>
      </c>
      <c r="AG35" s="681" t="s">
        <v>471</v>
      </c>
      <c r="AH35" s="682">
        <f t="shared" si="9"/>
        <v>0</v>
      </c>
    </row>
    <row r="36" spans="1:34" ht="12.75" hidden="1">
      <c r="A36" s="36">
        <v>30</v>
      </c>
      <c r="B36" s="31">
        <v>13</v>
      </c>
      <c r="C36" s="633">
        <f t="shared" si="10"/>
        <v>124.59060402684565</v>
      </c>
      <c r="D36" s="31">
        <f t="shared" si="11"/>
        <v>672</v>
      </c>
      <c r="E36" s="293">
        <v>0.48</v>
      </c>
      <c r="F36" s="299">
        <f t="shared" si="0"/>
        <v>11.92</v>
      </c>
      <c r="G36" s="31">
        <f t="shared" si="1"/>
        <v>8736</v>
      </c>
      <c r="H36" s="31">
        <f t="shared" si="2"/>
        <v>262080</v>
      </c>
      <c r="I36" s="293">
        <f t="shared" si="12"/>
        <v>1.192</v>
      </c>
      <c r="J36" s="303"/>
      <c r="K36" s="484">
        <f t="shared" si="3"/>
        <v>277.8585333333333</v>
      </c>
      <c r="L36" s="530">
        <f t="shared" si="4"/>
        <v>0.03180615079365079</v>
      </c>
      <c r="M36" s="530"/>
      <c r="N36" s="18">
        <f t="shared" si="13"/>
        <v>3.9</v>
      </c>
      <c r="O36" s="530">
        <f t="shared" si="14"/>
        <v>0.004819741661846924</v>
      </c>
      <c r="P36" s="530"/>
      <c r="Q36" s="484">
        <f t="shared" si="15"/>
        <v>605.6717797313797</v>
      </c>
      <c r="R36" s="530">
        <f t="shared" si="16"/>
        <v>0.06933056086668724</v>
      </c>
      <c r="S36" s="484" t="s">
        <v>471</v>
      </c>
      <c r="T36" s="530">
        <f t="shared" si="5"/>
        <v>0.0006603972950126796</v>
      </c>
      <c r="V36" s="531">
        <f t="shared" si="17"/>
        <v>0.16456394587541925</v>
      </c>
      <c r="W36" s="484" t="s">
        <v>471</v>
      </c>
      <c r="X36" s="530">
        <f t="shared" si="6"/>
        <v>0.04923469387755103</v>
      </c>
      <c r="AA36" s="484" t="s">
        <v>471</v>
      </c>
      <c r="AB36" s="530">
        <f t="shared" si="7"/>
        <v>0.008712401380670611</v>
      </c>
      <c r="AE36" s="679" t="s">
        <v>471</v>
      </c>
      <c r="AF36" s="680">
        <f t="shared" si="8"/>
        <v>0</v>
      </c>
      <c r="AG36" s="681" t="s">
        <v>471</v>
      </c>
      <c r="AH36" s="682">
        <f t="shared" si="9"/>
        <v>0</v>
      </c>
    </row>
    <row r="37" spans="1:34" ht="12.75" hidden="1">
      <c r="A37" s="36">
        <v>30</v>
      </c>
      <c r="B37" s="31">
        <v>10</v>
      </c>
      <c r="C37" s="633">
        <f t="shared" si="10"/>
        <v>149.6701030927835</v>
      </c>
      <c r="D37" s="31">
        <f t="shared" si="11"/>
        <v>854</v>
      </c>
      <c r="E37" s="293">
        <v>0.61</v>
      </c>
      <c r="F37" s="299">
        <f t="shared" si="0"/>
        <v>9.700000000000001</v>
      </c>
      <c r="G37" s="31">
        <f t="shared" si="1"/>
        <v>8540</v>
      </c>
      <c r="H37" s="31">
        <f t="shared" si="2"/>
        <v>256200</v>
      </c>
      <c r="I37" s="293">
        <f t="shared" si="12"/>
        <v>0.9700000000000001</v>
      </c>
      <c r="J37" s="303"/>
      <c r="K37" s="484">
        <f t="shared" si="3"/>
        <v>213.7373333333333</v>
      </c>
      <c r="L37" s="530">
        <f t="shared" si="4"/>
        <v>0.025027790788446524</v>
      </c>
      <c r="M37" s="530"/>
      <c r="N37" s="18">
        <f t="shared" si="13"/>
        <v>3</v>
      </c>
      <c r="O37" s="530">
        <f t="shared" si="14"/>
        <v>0.0037925836027647934</v>
      </c>
      <c r="P37" s="530"/>
      <c r="Q37" s="484">
        <f t="shared" si="15"/>
        <v>476.7792167277168</v>
      </c>
      <c r="R37" s="530">
        <f t="shared" si="16"/>
        <v>0.05582894809458042</v>
      </c>
      <c r="S37" s="484" t="s">
        <v>471</v>
      </c>
      <c r="T37" s="530">
        <f t="shared" si="5"/>
        <v>0.0006755539542424788</v>
      </c>
      <c r="V37" s="531">
        <f t="shared" si="17"/>
        <v>0.14347192845125487</v>
      </c>
      <c r="W37" s="484" t="s">
        <v>471</v>
      </c>
      <c r="X37" s="530">
        <f t="shared" si="6"/>
        <v>0.04923469387755103</v>
      </c>
      <c r="AA37" s="484" t="s">
        <v>471</v>
      </c>
      <c r="AB37" s="530">
        <f t="shared" si="7"/>
        <v>0.008912358133669609</v>
      </c>
      <c r="AE37" s="679" t="s">
        <v>471</v>
      </c>
      <c r="AF37" s="680">
        <f t="shared" si="8"/>
        <v>0</v>
      </c>
      <c r="AG37" s="681" t="s">
        <v>471</v>
      </c>
      <c r="AH37" s="682">
        <f t="shared" si="9"/>
        <v>0</v>
      </c>
    </row>
    <row r="38" spans="1:34" ht="12.75" hidden="1">
      <c r="A38" s="36">
        <v>30</v>
      </c>
      <c r="B38" s="31">
        <v>8</v>
      </c>
      <c r="C38" s="633">
        <f t="shared" si="10"/>
        <v>178.35523114355232</v>
      </c>
      <c r="D38" s="31">
        <f t="shared" si="11"/>
        <v>1078</v>
      </c>
      <c r="E38" s="293">
        <v>0.77</v>
      </c>
      <c r="F38" s="299">
        <f t="shared" si="0"/>
        <v>8.22</v>
      </c>
      <c r="G38" s="31">
        <f t="shared" si="1"/>
        <v>8624</v>
      </c>
      <c r="H38" s="31">
        <f t="shared" si="2"/>
        <v>258720</v>
      </c>
      <c r="I38" s="293">
        <f t="shared" si="12"/>
        <v>0.8220000000000001</v>
      </c>
      <c r="J38" s="303"/>
      <c r="K38" s="484">
        <f t="shared" si="3"/>
        <v>170.98986666666664</v>
      </c>
      <c r="L38" s="530">
        <f t="shared" si="4"/>
        <v>0.019827210884353737</v>
      </c>
      <c r="M38" s="530"/>
      <c r="N38" s="18">
        <f t="shared" si="13"/>
        <v>2.4</v>
      </c>
      <c r="O38" s="530">
        <f t="shared" si="14"/>
        <v>0.003004514282709771</v>
      </c>
      <c r="P38" s="530"/>
      <c r="Q38" s="484">
        <f t="shared" si="15"/>
        <v>390.85084139194146</v>
      </c>
      <c r="R38" s="530">
        <f t="shared" si="16"/>
        <v>0.04532129422448301</v>
      </c>
      <c r="S38" s="484" t="s">
        <v>471</v>
      </c>
      <c r="T38" s="530">
        <f t="shared" si="5"/>
        <v>0.0006689738832595975</v>
      </c>
      <c r="V38" s="531">
        <f t="shared" si="17"/>
        <v>0.1268822366029066</v>
      </c>
      <c r="W38" s="484" t="s">
        <v>471</v>
      </c>
      <c r="X38" s="530">
        <f t="shared" si="6"/>
        <v>0.04923469387755103</v>
      </c>
      <c r="AA38" s="484" t="s">
        <v>471</v>
      </c>
      <c r="AB38" s="530">
        <f t="shared" si="7"/>
        <v>0.00882554945054945</v>
      </c>
      <c r="AE38" s="679" t="s">
        <v>471</v>
      </c>
      <c r="AF38" s="680">
        <f t="shared" si="8"/>
        <v>0</v>
      </c>
      <c r="AG38" s="681" t="s">
        <v>471</v>
      </c>
      <c r="AH38" s="682">
        <f t="shared" si="9"/>
        <v>0</v>
      </c>
    </row>
    <row r="39" spans="1:34" ht="18">
      <c r="A39" s="36"/>
      <c r="B39" s="31"/>
      <c r="C39" s="529"/>
      <c r="D39" s="529"/>
      <c r="E39" s="529"/>
      <c r="F39" s="529"/>
      <c r="G39" s="529"/>
      <c r="H39" s="529"/>
      <c r="I39" s="574" t="s">
        <v>484</v>
      </c>
      <c r="J39" s="634">
        <f>E30</f>
        <v>0.48</v>
      </c>
      <c r="K39" s="528"/>
      <c r="L39" s="559">
        <f>L30/$J30</f>
        <v>0.15742424167506183</v>
      </c>
      <c r="M39" s="559"/>
      <c r="N39" s="528"/>
      <c r="O39" s="559">
        <f>O30/$J30</f>
        <v>0.023855265640550773</v>
      </c>
      <c r="P39" s="559"/>
      <c r="Q39" s="529"/>
      <c r="R39" s="559">
        <f>R30/$J30</f>
        <v>0.343150953416334</v>
      </c>
      <c r="T39" s="559">
        <f>T30/$J30</f>
        <v>0.012257363054489732</v>
      </c>
      <c r="V39" s="559">
        <f>V30/$J30</f>
        <v>0.1765035778553139</v>
      </c>
      <c r="X39" s="559">
        <f>X30/$J30</f>
        <v>0.24368665036086348</v>
      </c>
      <c r="Z39" s="559">
        <f>Z30/$J30</f>
        <v>0</v>
      </c>
      <c r="AB39" s="559">
        <f>AB30/$J30</f>
        <v>0.04312194799738619</v>
      </c>
      <c r="AD39" s="559">
        <f>AD30/$J30</f>
        <v>0</v>
      </c>
      <c r="AE39" s="649"/>
      <c r="AF39" s="666">
        <f>AF30/$J30</f>
        <v>0</v>
      </c>
      <c r="AG39" s="683"/>
      <c r="AH39" s="684">
        <f>AH30/$J30</f>
        <v>0</v>
      </c>
    </row>
    <row r="40" spans="1:34" ht="18">
      <c r="A40" s="36"/>
      <c r="B40" s="31"/>
      <c r="C40" s="529"/>
      <c r="D40" s="529"/>
      <c r="E40" s="529"/>
      <c r="F40" s="529"/>
      <c r="G40" s="529"/>
      <c r="H40" s="529"/>
      <c r="I40" s="574" t="s">
        <v>484</v>
      </c>
      <c r="J40" s="634">
        <f>E31</f>
        <v>0.61</v>
      </c>
      <c r="K40" s="528"/>
      <c r="L40" s="559">
        <f>L31/$J31</f>
        <v>0.17221387282904724</v>
      </c>
      <c r="M40" s="559"/>
      <c r="N40" s="528"/>
      <c r="O40" s="559">
        <f>O31/$J31</f>
        <v>0.02609641081711336</v>
      </c>
      <c r="P40" s="559"/>
      <c r="Q40" s="529"/>
      <c r="R40" s="559">
        <f>R31/$J31</f>
        <v>0.38415373728383023</v>
      </c>
      <c r="T40" s="559">
        <f>T31/$J31</f>
        <v>0.01743158691299369</v>
      </c>
      <c r="V40" s="559">
        <f>V31/$J31</f>
        <v>0</v>
      </c>
      <c r="X40" s="559">
        <f>X31/$J31</f>
        <v>0.33877929465990747</v>
      </c>
      <c r="Z40" s="559">
        <f>Z31/$J31</f>
        <v>0</v>
      </c>
      <c r="AB40" s="559">
        <f>AB31/$J31</f>
        <v>0.061325097497107926</v>
      </c>
      <c r="AD40" s="559">
        <f>AD31/$J31</f>
        <v>0</v>
      </c>
      <c r="AE40" s="649"/>
      <c r="AF40" s="666">
        <f>AF31/$J31</f>
        <v>0</v>
      </c>
      <c r="AG40" s="683"/>
      <c r="AH40" s="684">
        <f>AH31/$J31</f>
        <v>0</v>
      </c>
    </row>
    <row r="41" spans="1:34" ht="18.75" thickBot="1">
      <c r="A41" s="635"/>
      <c r="B41" s="275"/>
      <c r="C41" s="636"/>
      <c r="D41" s="636"/>
      <c r="E41" s="636"/>
      <c r="F41" s="636"/>
      <c r="G41" s="636"/>
      <c r="H41" s="636"/>
      <c r="I41" s="637" t="s">
        <v>484</v>
      </c>
      <c r="J41" s="638">
        <f>E32</f>
        <v>0.77</v>
      </c>
      <c r="K41" s="528"/>
      <c r="L41" s="559">
        <f>L32/$J32</f>
        <v>0.15403135447411984</v>
      </c>
      <c r="M41" s="559"/>
      <c r="N41" s="528"/>
      <c r="O41" s="559">
        <f>O32/$J32</f>
        <v>0.023341124841105412</v>
      </c>
      <c r="P41" s="559"/>
      <c r="Q41" s="529"/>
      <c r="R41" s="559">
        <f>R32/$J32</f>
        <v>0.35208685561649344</v>
      </c>
      <c r="T41" s="559">
        <f>T32/$J32</f>
        <v>0.019488927479633916</v>
      </c>
      <c r="V41" s="559">
        <f>V32/$J32</f>
        <v>0</v>
      </c>
      <c r="X41" s="559">
        <f>X32/$J32</f>
        <v>0.3824888245407407</v>
      </c>
      <c r="Z41" s="559">
        <f>Z32/$J32</f>
        <v>0</v>
      </c>
      <c r="AB41" s="559">
        <f>AB32/$J32</f>
        <v>0.06856291304790676</v>
      </c>
      <c r="AD41" s="559">
        <f>AD32/$J32</f>
        <v>0</v>
      </c>
      <c r="AE41" s="685"/>
      <c r="AF41" s="686">
        <f>AF32/$J32</f>
        <v>0</v>
      </c>
      <c r="AG41" s="687"/>
      <c r="AH41" s="688">
        <f>AH32/$J32</f>
        <v>0</v>
      </c>
    </row>
    <row r="42" spans="3:18" ht="18">
      <c r="C42" s="529"/>
      <c r="D42" s="529"/>
      <c r="E42" s="529"/>
      <c r="F42" s="529"/>
      <c r="G42" s="529"/>
      <c r="H42" s="529"/>
      <c r="I42" s="529"/>
      <c r="J42" s="529"/>
      <c r="K42" s="528"/>
      <c r="L42" s="528"/>
      <c r="M42" s="528"/>
      <c r="N42" s="528"/>
      <c r="O42" s="528"/>
      <c r="P42" s="528"/>
      <c r="Q42" s="529"/>
      <c r="R42" s="529"/>
    </row>
    <row r="43" spans="3:18" ht="12.75">
      <c r="C43" s="529"/>
      <c r="D43" s="529"/>
      <c r="E43" s="529"/>
      <c r="F43" s="529"/>
      <c r="G43" s="529"/>
      <c r="H43" s="529"/>
      <c r="I43" s="529"/>
      <c r="J43" s="529"/>
      <c r="K43" s="529"/>
      <c r="L43" s="529"/>
      <c r="M43" s="529"/>
      <c r="N43" s="529"/>
      <c r="O43" s="529"/>
      <c r="P43" s="529"/>
      <c r="Q43" s="529"/>
      <c r="R43" s="529"/>
    </row>
    <row r="44" spans="3:18" ht="12.75">
      <c r="C44" s="529"/>
      <c r="D44" s="529"/>
      <c r="E44" s="529"/>
      <c r="F44" s="529"/>
      <c r="G44" s="529"/>
      <c r="H44" s="529"/>
      <c r="I44" s="529"/>
      <c r="J44" s="529"/>
      <c r="K44" s="529"/>
      <c r="L44" s="529"/>
      <c r="M44" s="529"/>
      <c r="N44" s="529"/>
      <c r="O44" s="529"/>
      <c r="P44" s="529"/>
      <c r="Q44" s="529"/>
      <c r="R44" s="529"/>
    </row>
    <row r="45" spans="3:18" ht="12.75">
      <c r="C45" s="529"/>
      <c r="D45" s="529"/>
      <c r="E45" s="529"/>
      <c r="F45" s="529"/>
      <c r="G45" s="529"/>
      <c r="H45" s="529"/>
      <c r="I45" s="529"/>
      <c r="J45" s="529"/>
      <c r="K45" s="529"/>
      <c r="L45" s="529"/>
      <c r="M45" s="529"/>
      <c r="N45" s="529"/>
      <c r="O45" s="529"/>
      <c r="P45" s="529"/>
      <c r="Q45" s="529"/>
      <c r="R45" s="529"/>
    </row>
    <row r="46" spans="3:18" ht="23.25">
      <c r="C46" s="521"/>
      <c r="D46" s="521"/>
      <c r="E46" s="521"/>
      <c r="F46" s="521"/>
      <c r="G46" s="521"/>
      <c r="H46" s="521"/>
      <c r="I46" s="521"/>
      <c r="J46" s="521"/>
      <c r="K46" s="528"/>
      <c r="L46" s="528"/>
      <c r="M46" s="528"/>
      <c r="N46" s="528"/>
      <c r="O46" s="528"/>
      <c r="P46" s="528"/>
      <c r="Q46" s="529"/>
      <c r="R46" s="529"/>
    </row>
    <row r="47" spans="3:18" ht="18">
      <c r="C47" s="529"/>
      <c r="D47" s="529"/>
      <c r="E47" s="529"/>
      <c r="F47" s="529"/>
      <c r="G47" s="529"/>
      <c r="H47" s="529"/>
      <c r="I47" s="529"/>
      <c r="J47" s="529"/>
      <c r="K47" s="528"/>
      <c r="L47" s="528"/>
      <c r="M47" s="528"/>
      <c r="N47" s="528"/>
      <c r="O47" s="528"/>
      <c r="P47" s="528"/>
      <c r="Q47" s="529"/>
      <c r="R47" s="529"/>
    </row>
    <row r="48" spans="3:18" ht="18">
      <c r="C48" s="529"/>
      <c r="D48" s="529"/>
      <c r="E48" s="529"/>
      <c r="F48" s="529"/>
      <c r="G48" s="529"/>
      <c r="H48" s="529"/>
      <c r="I48" s="529"/>
      <c r="J48" s="529"/>
      <c r="K48" s="528"/>
      <c r="L48" s="528"/>
      <c r="M48" s="528"/>
      <c r="N48" s="528"/>
      <c r="O48" s="528"/>
      <c r="P48" s="528"/>
      <c r="Q48" s="529"/>
      <c r="R48" s="529"/>
    </row>
    <row r="49" spans="3:18" ht="18">
      <c r="C49" s="529"/>
      <c r="D49" s="529"/>
      <c r="E49" s="529"/>
      <c r="F49" s="529"/>
      <c r="G49" s="529"/>
      <c r="H49" s="529"/>
      <c r="I49" s="529"/>
      <c r="J49" s="529"/>
      <c r="K49" s="528"/>
      <c r="L49" s="528"/>
      <c r="M49" s="528"/>
      <c r="N49" s="528"/>
      <c r="O49" s="528"/>
      <c r="P49" s="528"/>
      <c r="Q49" s="529"/>
      <c r="R49" s="529"/>
    </row>
    <row r="50" spans="3:18" ht="18">
      <c r="C50" s="529"/>
      <c r="D50" s="529"/>
      <c r="E50" s="529"/>
      <c r="F50" s="529"/>
      <c r="G50" s="529"/>
      <c r="H50" s="529"/>
      <c r="I50" s="529"/>
      <c r="J50" s="529"/>
      <c r="K50" s="528"/>
      <c r="L50" s="528"/>
      <c r="M50" s="528"/>
      <c r="N50" s="528"/>
      <c r="O50" s="528"/>
      <c r="P50" s="528"/>
      <c r="Q50" s="529"/>
      <c r="R50" s="529"/>
    </row>
    <row r="51" spans="3:18" ht="18">
      <c r="C51" s="529"/>
      <c r="D51" s="529"/>
      <c r="E51" s="529"/>
      <c r="F51" s="529"/>
      <c r="G51" s="529"/>
      <c r="H51" s="529"/>
      <c r="I51" s="529"/>
      <c r="J51" s="529"/>
      <c r="K51" s="528"/>
      <c r="L51" s="528"/>
      <c r="M51" s="528"/>
      <c r="N51" s="528"/>
      <c r="O51" s="528"/>
      <c r="P51" s="528"/>
      <c r="Q51" s="529"/>
      <c r="R51" s="529"/>
    </row>
    <row r="52" spans="3:18" ht="18">
      <c r="C52" s="529"/>
      <c r="D52" s="529"/>
      <c r="E52" s="529"/>
      <c r="F52" s="529"/>
      <c r="G52" s="529"/>
      <c r="H52" s="529"/>
      <c r="I52" s="529"/>
      <c r="J52" s="529"/>
      <c r="K52" s="528"/>
      <c r="L52" s="528"/>
      <c r="M52" s="528"/>
      <c r="N52" s="528"/>
      <c r="O52" s="528"/>
      <c r="P52" s="528"/>
      <c r="Q52" s="529"/>
      <c r="R52" s="529"/>
    </row>
    <row r="53" spans="3:18" ht="12.75">
      <c r="C53" s="529"/>
      <c r="D53" s="529"/>
      <c r="E53" s="529"/>
      <c r="F53" s="529"/>
      <c r="G53" s="529"/>
      <c r="H53" s="529"/>
      <c r="I53" s="529"/>
      <c r="J53" s="529"/>
      <c r="K53" s="529"/>
      <c r="L53" s="529"/>
      <c r="M53" s="529"/>
      <c r="N53" s="529"/>
      <c r="O53" s="529"/>
      <c r="P53" s="529"/>
      <c r="Q53" s="529"/>
      <c r="R53" s="529"/>
    </row>
    <row r="54" spans="3:18" ht="12.75">
      <c r="C54" s="529"/>
      <c r="D54" s="529"/>
      <c r="E54" s="529"/>
      <c r="F54" s="529"/>
      <c r="G54" s="529"/>
      <c r="H54" s="529"/>
      <c r="I54" s="529"/>
      <c r="J54" s="529"/>
      <c r="K54" s="529"/>
      <c r="L54" s="529"/>
      <c r="M54" s="529"/>
      <c r="N54" s="529"/>
      <c r="O54" s="529"/>
      <c r="P54" s="529"/>
      <c r="Q54" s="529"/>
      <c r="R54" s="529"/>
    </row>
    <row r="55" spans="3:18" ht="12.75">
      <c r="C55" s="529"/>
      <c r="D55" s="529"/>
      <c r="E55" s="529"/>
      <c r="F55" s="529"/>
      <c r="G55" s="529"/>
      <c r="H55" s="529"/>
      <c r="I55" s="529"/>
      <c r="J55" s="529"/>
      <c r="K55" s="529"/>
      <c r="L55" s="529"/>
      <c r="M55" s="529"/>
      <c r="N55" s="529"/>
      <c r="O55" s="529"/>
      <c r="P55" s="529"/>
      <c r="Q55" s="529"/>
      <c r="R55" s="529"/>
    </row>
    <row r="56" spans="3:18" ht="12.75">
      <c r="C56" s="529"/>
      <c r="D56" s="529"/>
      <c r="E56" s="529"/>
      <c r="F56" s="529"/>
      <c r="G56" s="529"/>
      <c r="H56" s="529"/>
      <c r="I56" s="529"/>
      <c r="J56" s="529"/>
      <c r="K56" s="529"/>
      <c r="L56" s="529"/>
      <c r="M56" s="529"/>
      <c r="N56" s="529"/>
      <c r="O56" s="529"/>
      <c r="P56" s="529"/>
      <c r="Q56" s="529"/>
      <c r="R56" s="529"/>
    </row>
  </sheetData>
  <sheetProtection/>
  <mergeCells count="24">
    <mergeCell ref="K28:L28"/>
    <mergeCell ref="N28:O28"/>
    <mergeCell ref="Q28:R28"/>
    <mergeCell ref="W28:X28"/>
    <mergeCell ref="AC28:AD28"/>
    <mergeCell ref="S28:T28"/>
    <mergeCell ref="AA28:AB28"/>
    <mergeCell ref="U28:V28"/>
    <mergeCell ref="Q10:R10"/>
    <mergeCell ref="W10:X10"/>
    <mergeCell ref="K10:M10"/>
    <mergeCell ref="N10:P10"/>
    <mergeCell ref="U25:V27"/>
    <mergeCell ref="AC25:AD27"/>
    <mergeCell ref="AC10:AD10"/>
    <mergeCell ref="S10:T10"/>
    <mergeCell ref="AA10:AB10"/>
    <mergeCell ref="U10:V10"/>
    <mergeCell ref="Y10:Z10"/>
    <mergeCell ref="Y28:Z28"/>
    <mergeCell ref="AE10:AF10"/>
    <mergeCell ref="AE28:AF28"/>
    <mergeCell ref="AG10:AH10"/>
    <mergeCell ref="AG28:AH28"/>
  </mergeCells>
  <printOptions/>
  <pageMargins left="0.75" right="0.75" top="1" bottom="1" header="0.5" footer="0.5"/>
  <pageSetup horizontalDpi="600" verticalDpi="600" orientation="landscape" paperSize="3" r:id="rId1"/>
</worksheet>
</file>

<file path=xl/worksheets/sheet11.xml><?xml version="1.0" encoding="utf-8"?>
<worksheet xmlns="http://schemas.openxmlformats.org/spreadsheetml/2006/main" xmlns:r="http://schemas.openxmlformats.org/officeDocument/2006/relationships">
  <sheetPr>
    <pageSetUpPr fitToPage="1"/>
  </sheetPr>
  <dimension ref="C1:L30"/>
  <sheetViews>
    <sheetView zoomScalePageLayoutView="0" workbookViewId="0" topLeftCell="A1">
      <selection activeCell="N21" sqref="N21"/>
    </sheetView>
  </sheetViews>
  <sheetFormatPr defaultColWidth="9.140625" defaultRowHeight="12.75"/>
  <cols>
    <col min="3" max="3" width="11.140625" style="0" customWidth="1"/>
    <col min="4" max="4" width="29.00390625" style="0" customWidth="1"/>
    <col min="5" max="5" width="11.8515625" style="0" customWidth="1"/>
    <col min="6" max="6" width="12.140625" style="0" customWidth="1"/>
    <col min="7" max="7" width="11.00390625" style="0" customWidth="1"/>
    <col min="8" max="8" width="10.57421875" style="0" customWidth="1"/>
    <col min="9" max="9" width="14.28125" style="0" customWidth="1"/>
    <col min="10" max="10" width="9.8515625" style="0" customWidth="1"/>
    <col min="11" max="11" width="9.28125" style="0" bestFit="1" customWidth="1"/>
  </cols>
  <sheetData>
    <row r="1" spans="3:12" ht="20.25">
      <c r="C1" s="487" t="s">
        <v>365</v>
      </c>
      <c r="D1" s="437"/>
      <c r="E1" s="488" t="s">
        <v>348</v>
      </c>
      <c r="F1" s="488" t="s">
        <v>349</v>
      </c>
      <c r="G1" s="488" t="s">
        <v>350</v>
      </c>
      <c r="H1" s="488" t="s">
        <v>351</v>
      </c>
      <c r="I1" s="488" t="s">
        <v>358</v>
      </c>
      <c r="J1" s="496" t="s">
        <v>359</v>
      </c>
      <c r="K1" s="496" t="s">
        <v>360</v>
      </c>
      <c r="L1" s="485"/>
    </row>
    <row r="2" spans="3:12" ht="15">
      <c r="C2" s="437"/>
      <c r="D2" s="489" t="s">
        <v>335</v>
      </c>
      <c r="E2" s="490">
        <v>9.38</v>
      </c>
      <c r="F2" s="490">
        <v>9.38</v>
      </c>
      <c r="G2" s="490">
        <v>9.38</v>
      </c>
      <c r="H2" s="490">
        <v>9.38</v>
      </c>
      <c r="I2" s="437"/>
      <c r="J2" s="485"/>
      <c r="K2" s="486"/>
      <c r="L2" s="485"/>
    </row>
    <row r="3" spans="3:12" ht="15">
      <c r="C3" s="437"/>
      <c r="D3" s="489" t="s">
        <v>336</v>
      </c>
      <c r="E3" s="490">
        <f>0.51*E21</f>
        <v>14.571428571428573</v>
      </c>
      <c r="F3" s="490">
        <f>0.51*F21</f>
        <v>13.783783783783784</v>
      </c>
      <c r="G3" s="490">
        <f>0.51*G21</f>
        <v>17</v>
      </c>
      <c r="H3" s="490">
        <f>0.51*H21</f>
        <v>12.75</v>
      </c>
      <c r="I3" s="437"/>
      <c r="J3" s="485"/>
      <c r="K3" s="486"/>
      <c r="L3" s="485"/>
    </row>
    <row r="4" spans="3:12" ht="15">
      <c r="C4" s="437"/>
      <c r="D4" s="489" t="s">
        <v>337</v>
      </c>
      <c r="E4" s="490">
        <v>23.76</v>
      </c>
      <c r="F4" s="490">
        <v>23.76</v>
      </c>
      <c r="G4" s="490">
        <v>23.76</v>
      </c>
      <c r="H4" s="490">
        <v>23.76</v>
      </c>
      <c r="I4" s="437"/>
      <c r="J4" s="485"/>
      <c r="K4" s="486"/>
      <c r="L4" s="485"/>
    </row>
    <row r="5" spans="3:12" ht="15.75">
      <c r="C5" s="437"/>
      <c r="D5" s="491" t="s">
        <v>338</v>
      </c>
      <c r="E5" s="492">
        <f>E3+E2+E4</f>
        <v>47.71142857142857</v>
      </c>
      <c r="F5" s="492">
        <f>F3+F2+F4</f>
        <v>46.92378378378379</v>
      </c>
      <c r="G5" s="492">
        <f>G3+G2+G4</f>
        <v>50.14</v>
      </c>
      <c r="H5" s="492">
        <f>H3+H2+H4</f>
        <v>45.89</v>
      </c>
      <c r="I5" s="437"/>
      <c r="J5" s="485"/>
      <c r="K5" s="486"/>
      <c r="L5" s="485"/>
    </row>
    <row r="6" spans="3:12" ht="15">
      <c r="C6" s="437"/>
      <c r="D6" s="516" t="s">
        <v>340</v>
      </c>
      <c r="E6" s="497">
        <f>E5*E12</f>
        <v>109.95098714285714</v>
      </c>
      <c r="F6" s="497">
        <f>F5*F12</f>
        <v>139.78595189189193</v>
      </c>
      <c r="G6" s="497">
        <f>G5*G12</f>
        <v>97.37187999999999</v>
      </c>
      <c r="H6" s="497">
        <f>H5*H12</f>
        <v>88.44532666666667</v>
      </c>
      <c r="I6" s="498">
        <f>SUM(E6:H6)</f>
        <v>435.55414570141573</v>
      </c>
      <c r="J6" s="499">
        <v>400</v>
      </c>
      <c r="K6" s="500">
        <f>I6-J6</f>
        <v>35.554145701415734</v>
      </c>
      <c r="L6" s="501" t="s">
        <v>362</v>
      </c>
    </row>
    <row r="7" spans="3:12" ht="15.75">
      <c r="C7" s="437"/>
      <c r="D7" s="517" t="s">
        <v>330</v>
      </c>
      <c r="E7" s="502">
        <v>43</v>
      </c>
      <c r="F7" s="502">
        <v>78</v>
      </c>
      <c r="G7" s="502">
        <v>24</v>
      </c>
      <c r="H7" s="502">
        <v>16</v>
      </c>
      <c r="I7" s="503">
        <f>SUM(E7:H7)</f>
        <v>161</v>
      </c>
      <c r="J7" s="504">
        <v>183</v>
      </c>
      <c r="K7" s="505">
        <f aca="true" t="shared" si="0" ref="K7:K15">I7-J7</f>
        <v>-22</v>
      </c>
      <c r="L7" s="11"/>
    </row>
    <row r="8" spans="3:12" ht="15.75">
      <c r="C8" s="437"/>
      <c r="D8" s="517" t="s">
        <v>339</v>
      </c>
      <c r="E8" s="506">
        <v>16</v>
      </c>
      <c r="F8" s="506">
        <v>7</v>
      </c>
      <c r="G8" s="506">
        <v>37</v>
      </c>
      <c r="H8" s="506">
        <v>51</v>
      </c>
      <c r="I8" s="507">
        <f>I9/I7</f>
        <v>18.248447204968944</v>
      </c>
      <c r="J8" s="505">
        <v>22</v>
      </c>
      <c r="K8" s="505">
        <f t="shared" si="0"/>
        <v>-3.7515527950310563</v>
      </c>
      <c r="L8" s="501" t="s">
        <v>363</v>
      </c>
    </row>
    <row r="9" spans="3:12" ht="15">
      <c r="C9" s="437"/>
      <c r="D9" s="516" t="s">
        <v>331</v>
      </c>
      <c r="E9" s="508">
        <f>E8*E7</f>
        <v>688</v>
      </c>
      <c r="F9" s="508">
        <f>F8*F7</f>
        <v>546</v>
      </c>
      <c r="G9" s="508">
        <f>G8*G7</f>
        <v>888</v>
      </c>
      <c r="H9" s="508">
        <f>H8*H7</f>
        <v>816</v>
      </c>
      <c r="I9" s="507">
        <f>SUM(E9:H9)</f>
        <v>2938</v>
      </c>
      <c r="J9" s="501">
        <f>J8*J7</f>
        <v>4026</v>
      </c>
      <c r="K9" s="505">
        <f t="shared" si="0"/>
        <v>-1088</v>
      </c>
      <c r="L9" s="11"/>
    </row>
    <row r="10" spans="3:12" ht="15.75">
      <c r="C10" s="437"/>
      <c r="D10" s="517" t="s">
        <v>355</v>
      </c>
      <c r="E10" s="509">
        <f>E27</f>
        <v>1.6045000000000003</v>
      </c>
      <c r="F10" s="509">
        <f>F27</f>
        <v>2.239</v>
      </c>
      <c r="G10" s="509">
        <f>G27</f>
        <v>1.3419999999999999</v>
      </c>
      <c r="H10" s="509">
        <f>H27</f>
        <v>1.1273333333333333</v>
      </c>
      <c r="I10" s="510">
        <f>SUM(E10:H10)</f>
        <v>6.312833333333334</v>
      </c>
      <c r="J10" s="501">
        <v>6</v>
      </c>
      <c r="K10" s="505">
        <f t="shared" si="0"/>
        <v>0.31283333333333374</v>
      </c>
      <c r="L10" s="11"/>
    </row>
    <row r="11" spans="3:12" ht="15.75">
      <c r="C11" s="437"/>
      <c r="D11" s="517" t="s">
        <v>356</v>
      </c>
      <c r="E11" s="509">
        <v>0.7</v>
      </c>
      <c r="F11" s="509">
        <v>0.74</v>
      </c>
      <c r="G11" s="509">
        <v>0.6</v>
      </c>
      <c r="H11" s="509">
        <v>0.8</v>
      </c>
      <c r="I11" s="510">
        <f>SUM(E11:H11)</f>
        <v>2.84</v>
      </c>
      <c r="J11" s="511">
        <v>1.5</v>
      </c>
      <c r="K11" s="505">
        <f t="shared" si="0"/>
        <v>1.3399999999999999</v>
      </c>
      <c r="L11" s="501" t="s">
        <v>362</v>
      </c>
    </row>
    <row r="12" spans="3:12" ht="15">
      <c r="C12" s="437"/>
      <c r="D12" s="516" t="s">
        <v>357</v>
      </c>
      <c r="E12" s="512">
        <f>E11+E10</f>
        <v>2.3045</v>
      </c>
      <c r="F12" s="512">
        <f>F11+F10</f>
        <v>2.979</v>
      </c>
      <c r="G12" s="512">
        <f>G11+G10</f>
        <v>1.9419999999999997</v>
      </c>
      <c r="H12" s="512">
        <f>H11+H10</f>
        <v>1.9273333333333333</v>
      </c>
      <c r="I12" s="510">
        <f>SUM(E12:H12)</f>
        <v>9.152833333333334</v>
      </c>
      <c r="J12" s="501">
        <v>8</v>
      </c>
      <c r="K12" s="505">
        <f t="shared" si="0"/>
        <v>1.1528333333333336</v>
      </c>
      <c r="L12" s="11"/>
    </row>
    <row r="13" spans="3:12" ht="15.75">
      <c r="C13" s="437"/>
      <c r="D13" s="518" t="s">
        <v>258</v>
      </c>
      <c r="E13" s="513">
        <v>0.32</v>
      </c>
      <c r="F13" s="513">
        <v>0.345</v>
      </c>
      <c r="G13" s="513">
        <v>0.145</v>
      </c>
      <c r="H13" s="513">
        <v>0.105</v>
      </c>
      <c r="I13" s="514"/>
      <c r="J13" s="501"/>
      <c r="K13" s="500">
        <f t="shared" si="0"/>
        <v>0</v>
      </c>
      <c r="L13" s="11"/>
    </row>
    <row r="14" spans="3:12" ht="15">
      <c r="C14" s="437"/>
      <c r="D14" s="519" t="s">
        <v>332</v>
      </c>
      <c r="E14" s="497">
        <f>E13*E9</f>
        <v>220.16</v>
      </c>
      <c r="F14" s="497">
        <f>F13*F9</f>
        <v>188.36999999999998</v>
      </c>
      <c r="G14" s="497">
        <f>G13*G9</f>
        <v>128.76</v>
      </c>
      <c r="H14" s="497">
        <f>H13*H9</f>
        <v>85.67999999999999</v>
      </c>
      <c r="I14" s="498">
        <f>SUM(E14:H14)</f>
        <v>622.9699999999999</v>
      </c>
      <c r="J14" s="499">
        <v>767</v>
      </c>
      <c r="K14" s="500">
        <f t="shared" si="0"/>
        <v>-144.0300000000001</v>
      </c>
      <c r="L14" s="11"/>
    </row>
    <row r="15" spans="3:12" ht="15.75">
      <c r="C15" s="437"/>
      <c r="D15" s="520" t="s">
        <v>333</v>
      </c>
      <c r="E15" s="515">
        <f>E14/E12</f>
        <v>95.53482317205467</v>
      </c>
      <c r="F15" s="515">
        <f>F14/F12</f>
        <v>63.23262839879153</v>
      </c>
      <c r="G15" s="515">
        <f>G14/G12</f>
        <v>66.30278063851699</v>
      </c>
      <c r="H15" s="515">
        <f>H14/H12</f>
        <v>44.45520581113801</v>
      </c>
      <c r="I15" s="497">
        <f>I14/I12</f>
        <v>68.06307700711983</v>
      </c>
      <c r="J15" s="499">
        <v>92</v>
      </c>
      <c r="K15" s="500">
        <f t="shared" si="0"/>
        <v>-23.93692299288017</v>
      </c>
      <c r="L15" s="11"/>
    </row>
    <row r="16" spans="3:12" ht="15">
      <c r="C16" s="437"/>
      <c r="D16" s="519" t="s">
        <v>334</v>
      </c>
      <c r="E16" s="497">
        <f>E14-E6</f>
        <v>110.20901285714285</v>
      </c>
      <c r="F16" s="497">
        <f>F14-F6</f>
        <v>48.58404810810805</v>
      </c>
      <c r="G16" s="497">
        <f>G14-G6</f>
        <v>31.38812</v>
      </c>
      <c r="H16" s="497">
        <f>H14-H6</f>
        <v>-2.765326666666681</v>
      </c>
      <c r="I16" s="498">
        <f>SUM(E16:H16)</f>
        <v>187.41585429858424</v>
      </c>
      <c r="J16" s="499"/>
      <c r="K16" s="500"/>
      <c r="L16" s="11"/>
    </row>
    <row r="17" spans="3:12" ht="15">
      <c r="C17" s="437"/>
      <c r="D17" s="230"/>
      <c r="E17" s="437"/>
      <c r="F17" s="437"/>
      <c r="G17" s="437"/>
      <c r="H17" s="437"/>
      <c r="I17" s="437"/>
      <c r="J17" s="437"/>
      <c r="K17" s="437"/>
      <c r="L17" s="437"/>
    </row>
    <row r="18" spans="3:12" ht="15">
      <c r="C18" s="493"/>
      <c r="D18" s="489" t="s">
        <v>341</v>
      </c>
      <c r="E18" s="437">
        <v>25</v>
      </c>
      <c r="F18" s="437">
        <v>25</v>
      </c>
      <c r="G18" s="437">
        <v>25</v>
      </c>
      <c r="H18" s="437">
        <v>25</v>
      </c>
      <c r="I18" s="437"/>
      <c r="J18" s="437"/>
      <c r="K18" s="437"/>
      <c r="L18" s="437"/>
    </row>
    <row r="19" spans="3:12" ht="15">
      <c r="C19" s="493"/>
      <c r="D19" s="489" t="s">
        <v>364</v>
      </c>
      <c r="E19" s="437">
        <v>1.25</v>
      </c>
      <c r="F19" s="437">
        <v>1.25</v>
      </c>
      <c r="G19" s="437">
        <v>1.25</v>
      </c>
      <c r="H19" s="437">
        <v>1.25</v>
      </c>
      <c r="I19" s="437"/>
      <c r="J19" s="437"/>
      <c r="K19" s="437"/>
      <c r="L19" s="437"/>
    </row>
    <row r="20" spans="3:12" ht="15">
      <c r="C20" s="437"/>
      <c r="D20" s="489" t="s">
        <v>342</v>
      </c>
      <c r="E20" s="437">
        <v>15</v>
      </c>
      <c r="F20" s="437">
        <v>15</v>
      </c>
      <c r="G20" s="437">
        <v>15</v>
      </c>
      <c r="H20" s="437">
        <v>15</v>
      </c>
      <c r="I20" s="437"/>
      <c r="J20" s="437"/>
      <c r="K20" s="437"/>
      <c r="L20" s="437"/>
    </row>
    <row r="21" spans="3:12" ht="15">
      <c r="C21" s="437"/>
      <c r="D21" s="489" t="s">
        <v>361</v>
      </c>
      <c r="E21" s="494">
        <f>20/E28</f>
        <v>28.571428571428573</v>
      </c>
      <c r="F21" s="494">
        <f>20/F28</f>
        <v>27.027027027027028</v>
      </c>
      <c r="G21" s="494">
        <f>20/G28</f>
        <v>33.333333333333336</v>
      </c>
      <c r="H21" s="494">
        <f>20/H28</f>
        <v>25</v>
      </c>
      <c r="I21" s="494">
        <f>SUM(E21:H21)</f>
        <v>113.93178893178893</v>
      </c>
      <c r="J21" s="437"/>
      <c r="K21" s="437"/>
      <c r="L21" s="437"/>
    </row>
    <row r="22" spans="3:12" ht="15">
      <c r="C22" s="437"/>
      <c r="D22" s="489" t="s">
        <v>343</v>
      </c>
      <c r="E22" s="495">
        <f>E8/E18</f>
        <v>0.64</v>
      </c>
      <c r="F22" s="495">
        <f>F8/F18</f>
        <v>0.28</v>
      </c>
      <c r="G22" s="495">
        <f>G8/G18</f>
        <v>1.48</v>
      </c>
      <c r="H22" s="495">
        <f>H8/H18</f>
        <v>2.04</v>
      </c>
      <c r="I22" s="437"/>
      <c r="J22" s="437"/>
      <c r="K22" s="437"/>
      <c r="L22" s="437"/>
    </row>
    <row r="23" spans="3:12" ht="15">
      <c r="C23" s="437"/>
      <c r="D23" s="489" t="s">
        <v>344</v>
      </c>
      <c r="E23" s="495">
        <f>E19+E22</f>
        <v>1.8900000000000001</v>
      </c>
      <c r="F23" s="495">
        <f>F19+F22</f>
        <v>1.53</v>
      </c>
      <c r="G23" s="495">
        <f>G19+G22</f>
        <v>2.73</v>
      </c>
      <c r="H23" s="495">
        <f>H19+H22</f>
        <v>3.29</v>
      </c>
      <c r="I23" s="437"/>
      <c r="J23" s="437"/>
      <c r="K23" s="437"/>
      <c r="L23" s="437"/>
    </row>
    <row r="24" spans="3:12" ht="15">
      <c r="C24" s="437"/>
      <c r="D24" s="489" t="s">
        <v>345</v>
      </c>
      <c r="E24" s="495">
        <f>E23*E7</f>
        <v>81.27000000000001</v>
      </c>
      <c r="F24" s="495">
        <f>F23*F7</f>
        <v>119.34</v>
      </c>
      <c r="G24" s="495">
        <f>G23*G7</f>
        <v>65.52</v>
      </c>
      <c r="H24" s="495">
        <f>H23*H7</f>
        <v>52.64</v>
      </c>
      <c r="I24" s="437"/>
      <c r="J24" s="437"/>
      <c r="K24" s="437"/>
      <c r="L24" s="437"/>
    </row>
    <row r="25" spans="3:12" ht="15">
      <c r="C25" s="437"/>
      <c r="D25" s="489" t="s">
        <v>346</v>
      </c>
      <c r="E25" s="495">
        <v>15</v>
      </c>
      <c r="F25" s="495">
        <v>15</v>
      </c>
      <c r="G25" s="495">
        <v>15</v>
      </c>
      <c r="H25" s="495">
        <v>15</v>
      </c>
      <c r="I25" s="437"/>
      <c r="J25" s="437"/>
      <c r="K25" s="437"/>
      <c r="L25" s="437"/>
    </row>
    <row r="26" spans="3:12" ht="15">
      <c r="C26" s="437"/>
      <c r="D26" s="489" t="s">
        <v>347</v>
      </c>
      <c r="E26" s="495">
        <f>E25+E24</f>
        <v>96.27000000000001</v>
      </c>
      <c r="F26" s="495">
        <f>F25+F24</f>
        <v>134.34</v>
      </c>
      <c r="G26" s="495">
        <f>G25+G24</f>
        <v>80.52</v>
      </c>
      <c r="H26" s="495">
        <f>H25+H24</f>
        <v>67.64</v>
      </c>
      <c r="I26" s="437"/>
      <c r="J26" s="437"/>
      <c r="K26" s="437"/>
      <c r="L26" s="437"/>
    </row>
    <row r="27" spans="3:12" ht="15">
      <c r="C27" s="437"/>
      <c r="D27" s="489" t="s">
        <v>352</v>
      </c>
      <c r="E27" s="495">
        <f>E26/60</f>
        <v>1.6045000000000003</v>
      </c>
      <c r="F27" s="495">
        <f>F26/60</f>
        <v>2.239</v>
      </c>
      <c r="G27" s="495">
        <f>G26/60</f>
        <v>1.3419999999999999</v>
      </c>
      <c r="H27" s="495">
        <f>H26/60</f>
        <v>1.1273333333333333</v>
      </c>
      <c r="I27" s="437"/>
      <c r="J27" s="437"/>
      <c r="K27" s="437"/>
      <c r="L27" s="437"/>
    </row>
    <row r="28" spans="3:12" ht="15">
      <c r="C28" s="437"/>
      <c r="D28" s="489" t="s">
        <v>353</v>
      </c>
      <c r="E28" s="495">
        <f>E11</f>
        <v>0.7</v>
      </c>
      <c r="F28" s="495">
        <f>F11</f>
        <v>0.74</v>
      </c>
      <c r="G28" s="495">
        <f>G11</f>
        <v>0.6</v>
      </c>
      <c r="H28" s="495">
        <f>H11</f>
        <v>0.8</v>
      </c>
      <c r="I28" s="437"/>
      <c r="J28" s="437"/>
      <c r="K28" s="437"/>
      <c r="L28" s="437"/>
    </row>
    <row r="29" spans="3:12" ht="15">
      <c r="C29" s="437"/>
      <c r="D29" s="489" t="s">
        <v>354</v>
      </c>
      <c r="E29" s="495">
        <f>E27+E28</f>
        <v>2.3045</v>
      </c>
      <c r="F29" s="495">
        <f>F27+F28</f>
        <v>2.979</v>
      </c>
      <c r="G29" s="495">
        <f>G27+G28</f>
        <v>1.9419999999999997</v>
      </c>
      <c r="H29" s="495">
        <f>H27+H28</f>
        <v>1.9273333333333333</v>
      </c>
      <c r="I29" s="437"/>
      <c r="J29" s="437"/>
      <c r="K29" s="437"/>
      <c r="L29" s="437"/>
    </row>
    <row r="30" spans="3:12" ht="12.75">
      <c r="C30" s="437"/>
      <c r="D30" s="437"/>
      <c r="E30" s="493"/>
      <c r="F30" s="493"/>
      <c r="G30" s="493"/>
      <c r="H30" s="493"/>
      <c r="I30" s="437"/>
      <c r="J30" s="437"/>
      <c r="K30" s="437"/>
      <c r="L30" s="437"/>
    </row>
  </sheetData>
  <sheetProtection/>
  <printOptions/>
  <pageMargins left="0.75" right="0.75" top="1" bottom="1" header="0.5" footer="0.5"/>
  <pageSetup fitToHeight="1" fitToWidth="1" horizontalDpi="600" verticalDpi="600" orientation="portrait" paperSize="3" scale="84" r:id="rId1"/>
</worksheet>
</file>

<file path=xl/worksheets/sheet12.xml><?xml version="1.0" encoding="utf-8"?>
<worksheet xmlns="http://schemas.openxmlformats.org/spreadsheetml/2006/main" xmlns:r="http://schemas.openxmlformats.org/officeDocument/2006/relationships">
  <sheetPr>
    <pageSetUpPr fitToPage="1"/>
  </sheetPr>
  <dimension ref="B1:U63"/>
  <sheetViews>
    <sheetView zoomScale="75" zoomScaleNormal="75" zoomScalePageLayoutView="0" workbookViewId="0" topLeftCell="B3">
      <pane xSplit="3" ySplit="5" topLeftCell="E8" activePane="bottomRight" state="frozen"/>
      <selection pane="topLeft" activeCell="B3" sqref="B3"/>
      <selection pane="topRight" activeCell="E3" sqref="E3"/>
      <selection pane="bottomLeft" activeCell="B8" sqref="B8"/>
      <selection pane="bottomRight" activeCell="H3" sqref="H3"/>
    </sheetView>
  </sheetViews>
  <sheetFormatPr defaultColWidth="9.140625" defaultRowHeight="12.75"/>
  <cols>
    <col min="2" max="2" width="38.140625" style="0" customWidth="1"/>
    <col min="3" max="3" width="30.140625" style="0" customWidth="1"/>
    <col min="4" max="4" width="24.28125" style="0" customWidth="1"/>
    <col min="5" max="5" width="43.140625" style="0" customWidth="1"/>
    <col min="6" max="6" width="28.8515625" style="0" customWidth="1"/>
    <col min="7" max="7" width="41.28125" style="0" customWidth="1"/>
    <col min="8" max="8" width="41.140625" style="0" customWidth="1"/>
    <col min="11" max="11" width="19.28125" style="0" customWidth="1"/>
    <col min="12" max="12" width="34.00390625" style="0" customWidth="1"/>
    <col min="13" max="13" width="10.28125" style="0" bestFit="1" customWidth="1"/>
    <col min="14" max="14" width="12.140625" style="0" customWidth="1"/>
    <col min="15" max="16" width="16.140625" style="0" customWidth="1"/>
    <col min="17" max="19" width="14.7109375" style="0" customWidth="1"/>
    <col min="20" max="20" width="2.7109375" style="0" customWidth="1"/>
    <col min="21" max="21" width="16.57421875" style="0" customWidth="1"/>
  </cols>
  <sheetData>
    <row r="1" spans="2:8" ht="26.25">
      <c r="B1" s="1" t="s">
        <v>0</v>
      </c>
      <c r="E1" t="s">
        <v>59</v>
      </c>
      <c r="F1" t="s">
        <v>53</v>
      </c>
      <c r="G1" t="s">
        <v>46</v>
      </c>
      <c r="H1" t="s">
        <v>47</v>
      </c>
    </row>
    <row r="2" spans="5:8" ht="12.75">
      <c r="E2" t="s">
        <v>60</v>
      </c>
      <c r="F2" t="s">
        <v>54</v>
      </c>
      <c r="G2" t="s">
        <v>41</v>
      </c>
      <c r="H2" t="s">
        <v>48</v>
      </c>
    </row>
    <row r="3" spans="2:12" ht="158.25" customHeight="1">
      <c r="B3" s="774" t="s">
        <v>547</v>
      </c>
      <c r="C3" s="775"/>
      <c r="D3" s="775"/>
      <c r="E3" t="s">
        <v>61</v>
      </c>
      <c r="F3" t="s">
        <v>55</v>
      </c>
      <c r="G3" t="s">
        <v>42</v>
      </c>
      <c r="H3" t="s">
        <v>49</v>
      </c>
      <c r="L3" s="527" t="s">
        <v>408</v>
      </c>
    </row>
    <row r="4" spans="5:8" ht="12.75">
      <c r="E4" t="s">
        <v>62</v>
      </c>
      <c r="F4" t="s">
        <v>56</v>
      </c>
      <c r="G4" t="s">
        <v>43</v>
      </c>
      <c r="H4" t="s">
        <v>50</v>
      </c>
    </row>
    <row r="5" spans="5:12" ht="12.75">
      <c r="E5" t="s">
        <v>63</v>
      </c>
      <c r="F5" t="s">
        <v>57</v>
      </c>
      <c r="G5" t="s">
        <v>44</v>
      </c>
      <c r="H5" t="s">
        <v>51</v>
      </c>
      <c r="L5" t="s">
        <v>35</v>
      </c>
    </row>
    <row r="6" spans="5:21" ht="12.75">
      <c r="E6" t="s">
        <v>64</v>
      </c>
      <c r="F6" t="s">
        <v>58</v>
      </c>
      <c r="G6" t="s">
        <v>45</v>
      </c>
      <c r="H6" t="s">
        <v>52</v>
      </c>
      <c r="M6" s="523"/>
      <c r="N6" s="523"/>
      <c r="O6" s="523"/>
      <c r="P6" s="523"/>
      <c r="Q6" s="523"/>
      <c r="R6" s="523"/>
      <c r="S6" s="523"/>
      <c r="T6" s="523"/>
      <c r="U6" s="533"/>
    </row>
    <row r="7" spans="2:21" ht="69.75">
      <c r="B7" s="248" t="s">
        <v>30</v>
      </c>
      <c r="C7" s="2" t="s">
        <v>31</v>
      </c>
      <c r="D7" s="2" t="s">
        <v>32</v>
      </c>
      <c r="E7" s="2" t="s">
        <v>24</v>
      </c>
      <c r="F7" s="2" t="s">
        <v>33</v>
      </c>
      <c r="G7" s="2" t="s">
        <v>367</v>
      </c>
      <c r="L7" s="524" t="s">
        <v>370</v>
      </c>
      <c r="M7" s="524" t="s">
        <v>376</v>
      </c>
      <c r="N7" s="524" t="s">
        <v>386</v>
      </c>
      <c r="O7" s="524" t="s">
        <v>392</v>
      </c>
      <c r="P7" s="525" t="s">
        <v>400</v>
      </c>
      <c r="Q7" s="524" t="s">
        <v>390</v>
      </c>
      <c r="R7" s="524" t="s">
        <v>391</v>
      </c>
      <c r="S7" s="525" t="s">
        <v>412</v>
      </c>
      <c r="T7" s="524"/>
      <c r="U7" s="533"/>
    </row>
    <row r="8" spans="12:21" ht="12.75">
      <c r="L8" s="523" t="s">
        <v>371</v>
      </c>
      <c r="M8" s="706" t="s">
        <v>383</v>
      </c>
      <c r="N8" s="523" t="s">
        <v>386</v>
      </c>
      <c r="O8" s="523" t="s">
        <v>394</v>
      </c>
      <c r="P8" s="523" t="s">
        <v>398</v>
      </c>
      <c r="Q8" s="523" t="s">
        <v>393</v>
      </c>
      <c r="R8" s="523" t="s">
        <v>393</v>
      </c>
      <c r="S8" s="523" t="s">
        <v>413</v>
      </c>
      <c r="T8" s="523"/>
      <c r="U8" s="533"/>
    </row>
    <row r="9" spans="12:21" ht="25.5">
      <c r="L9" s="523" t="s">
        <v>372</v>
      </c>
      <c r="M9" s="523" t="s">
        <v>377</v>
      </c>
      <c r="N9" s="523" t="s">
        <v>291</v>
      </c>
      <c r="O9" s="523" t="s">
        <v>395</v>
      </c>
      <c r="P9" s="523" t="s">
        <v>399</v>
      </c>
      <c r="Q9" s="523" t="s">
        <v>401</v>
      </c>
      <c r="R9" s="523" t="s">
        <v>409</v>
      </c>
      <c r="S9" s="526" t="s">
        <v>414</v>
      </c>
      <c r="T9" s="523"/>
      <c r="U9" s="533"/>
    </row>
    <row r="10" spans="2:21" ht="23.25">
      <c r="B10" s="10" t="s">
        <v>11</v>
      </c>
      <c r="C10" s="13" t="s">
        <v>5</v>
      </c>
      <c r="D10" s="11" t="s">
        <v>261</v>
      </c>
      <c r="G10" t="s">
        <v>36</v>
      </c>
      <c r="L10" s="523" t="s">
        <v>373</v>
      </c>
      <c r="M10" s="523" t="s">
        <v>378</v>
      </c>
      <c r="N10" s="523" t="s">
        <v>387</v>
      </c>
      <c r="O10" s="523" t="s">
        <v>396</v>
      </c>
      <c r="P10" s="523"/>
      <c r="Q10" s="523" t="s">
        <v>402</v>
      </c>
      <c r="R10" s="523" t="s">
        <v>410</v>
      </c>
      <c r="S10" s="691"/>
      <c r="T10" s="523"/>
      <c r="U10" s="533"/>
    </row>
    <row r="11" spans="3:21" ht="18">
      <c r="C11" s="12"/>
      <c r="D11" s="11" t="s">
        <v>12</v>
      </c>
      <c r="E11" t="s">
        <v>34</v>
      </c>
      <c r="F11" t="s">
        <v>35</v>
      </c>
      <c r="G11" t="s">
        <v>37</v>
      </c>
      <c r="L11" s="523" t="s">
        <v>374</v>
      </c>
      <c r="M11" s="523" t="s">
        <v>379</v>
      </c>
      <c r="N11" s="523" t="s">
        <v>388</v>
      </c>
      <c r="O11" s="523" t="s">
        <v>397</v>
      </c>
      <c r="P11" s="523"/>
      <c r="Q11" s="523" t="s">
        <v>403</v>
      </c>
      <c r="R11" s="523" t="s">
        <v>411</v>
      </c>
      <c r="S11" s="691"/>
      <c r="T11" s="523"/>
      <c r="U11" s="533"/>
    </row>
    <row r="12" spans="3:21" ht="18">
      <c r="C12" s="12"/>
      <c r="D12" s="11" t="s">
        <v>262</v>
      </c>
      <c r="L12" s="523" t="s">
        <v>375</v>
      </c>
      <c r="M12" s="523" t="s">
        <v>380</v>
      </c>
      <c r="N12" s="523" t="s">
        <v>389</v>
      </c>
      <c r="O12" s="523"/>
      <c r="P12" s="523"/>
      <c r="Q12" s="523" t="s">
        <v>404</v>
      </c>
      <c r="R12" s="523"/>
      <c r="S12" s="691"/>
      <c r="T12" s="523"/>
      <c r="U12" s="533"/>
    </row>
    <row r="13" spans="3:21" ht="15">
      <c r="C13" s="13" t="s">
        <v>6</v>
      </c>
      <c r="D13" s="11" t="s">
        <v>8</v>
      </c>
      <c r="E13" t="s">
        <v>25</v>
      </c>
      <c r="G13" t="s">
        <v>29</v>
      </c>
      <c r="H13" s="522"/>
      <c r="L13" s="523"/>
      <c r="M13" s="523" t="s">
        <v>381</v>
      </c>
      <c r="N13" s="523"/>
      <c r="O13" s="523"/>
      <c r="P13" s="523"/>
      <c r="Q13" s="523" t="s">
        <v>18</v>
      </c>
      <c r="R13" s="523"/>
      <c r="S13" s="523"/>
      <c r="T13" s="523"/>
      <c r="U13" s="533"/>
    </row>
    <row r="14" spans="3:21" ht="15">
      <c r="C14" s="15"/>
      <c r="D14" s="11" t="s">
        <v>26</v>
      </c>
      <c r="E14" t="s">
        <v>27</v>
      </c>
      <c r="G14" t="s">
        <v>28</v>
      </c>
      <c r="L14" s="523"/>
      <c r="M14" s="523" t="s">
        <v>382</v>
      </c>
      <c r="N14" s="523"/>
      <c r="O14" s="523"/>
      <c r="P14" s="523"/>
      <c r="Q14" s="523" t="s">
        <v>405</v>
      </c>
      <c r="R14" s="523"/>
      <c r="S14" s="523"/>
      <c r="T14" s="523"/>
      <c r="U14" s="533"/>
    </row>
    <row r="15" spans="3:21" ht="18">
      <c r="C15" s="12"/>
      <c r="D15" s="11" t="s">
        <v>9</v>
      </c>
      <c r="L15" s="523"/>
      <c r="M15" s="523" t="s">
        <v>383</v>
      </c>
      <c r="N15" s="523"/>
      <c r="O15" s="523"/>
      <c r="P15" s="523"/>
      <c r="Q15" s="523" t="s">
        <v>406</v>
      </c>
      <c r="R15" s="523"/>
      <c r="S15" s="523"/>
      <c r="T15" s="523"/>
      <c r="U15" s="533"/>
    </row>
    <row r="16" spans="3:21" ht="18">
      <c r="C16" s="12"/>
      <c r="D16" s="11" t="s">
        <v>10</v>
      </c>
      <c r="L16" s="523"/>
      <c r="M16" s="523" t="s">
        <v>384</v>
      </c>
      <c r="N16" s="523"/>
      <c r="O16" s="523"/>
      <c r="P16" s="523"/>
      <c r="Q16" s="523" t="s">
        <v>407</v>
      </c>
      <c r="R16" s="523"/>
      <c r="S16" s="523"/>
      <c r="T16" s="523"/>
      <c r="U16" s="533"/>
    </row>
    <row r="17" spans="3:21" ht="15">
      <c r="C17" s="13" t="s">
        <v>7</v>
      </c>
      <c r="D17" s="11" t="s">
        <v>14</v>
      </c>
      <c r="E17" t="s">
        <v>263</v>
      </c>
      <c r="F17" t="s">
        <v>38</v>
      </c>
      <c r="G17" t="s">
        <v>39</v>
      </c>
      <c r="L17" s="523"/>
      <c r="M17" s="523" t="s">
        <v>379</v>
      </c>
      <c r="N17" s="523"/>
      <c r="O17" s="523"/>
      <c r="P17" s="523"/>
      <c r="Q17" s="523"/>
      <c r="R17" s="523"/>
      <c r="S17" s="523"/>
      <c r="T17" s="523"/>
      <c r="U17" s="533"/>
    </row>
    <row r="18" spans="3:21" ht="18">
      <c r="C18" s="3"/>
      <c r="D18" s="11" t="s">
        <v>15</v>
      </c>
      <c r="E18" t="s">
        <v>264</v>
      </c>
      <c r="L18" s="523"/>
      <c r="M18" s="523" t="s">
        <v>385</v>
      </c>
      <c r="N18" s="523"/>
      <c r="O18" s="523"/>
      <c r="P18" s="523"/>
      <c r="Q18" s="523"/>
      <c r="R18" s="523"/>
      <c r="S18" s="523"/>
      <c r="T18" s="523"/>
      <c r="U18" s="533"/>
    </row>
    <row r="19" spans="3:21" ht="18">
      <c r="C19" s="3"/>
      <c r="D19" s="11" t="s">
        <v>368</v>
      </c>
      <c r="L19" s="523"/>
      <c r="M19" s="523"/>
      <c r="N19" s="523"/>
      <c r="O19" s="523"/>
      <c r="P19" s="523"/>
      <c r="Q19" s="523"/>
      <c r="R19" s="523"/>
      <c r="S19" s="523"/>
      <c r="T19" s="523"/>
      <c r="U19" s="533"/>
    </row>
    <row r="20" spans="3:21" ht="18">
      <c r="C20" s="3"/>
      <c r="D20" s="11" t="s">
        <v>369</v>
      </c>
      <c r="L20" s="523" t="s">
        <v>415</v>
      </c>
      <c r="M20" s="523"/>
      <c r="N20" s="523"/>
      <c r="O20" s="523"/>
      <c r="P20" s="523"/>
      <c r="Q20" s="523"/>
      <c r="R20" s="523"/>
      <c r="S20" s="523"/>
      <c r="T20" s="523"/>
      <c r="U20" s="533"/>
    </row>
    <row r="21" spans="3:21" ht="18">
      <c r="C21" s="3"/>
      <c r="D21" s="11"/>
      <c r="L21" s="523"/>
      <c r="M21" s="523"/>
      <c r="N21" s="523"/>
      <c r="O21" s="523"/>
      <c r="P21" s="523"/>
      <c r="Q21" s="523"/>
      <c r="R21" s="523"/>
      <c r="S21" s="523"/>
      <c r="T21" s="523"/>
      <c r="U21" s="533"/>
    </row>
    <row r="22" spans="4:21" ht="12.75">
      <c r="D22" s="11" t="s">
        <v>16</v>
      </c>
      <c r="L22" s="523"/>
      <c r="M22" s="523"/>
      <c r="N22" s="523"/>
      <c r="O22" s="523"/>
      <c r="P22" s="523"/>
      <c r="Q22" s="523"/>
      <c r="R22" s="523"/>
      <c r="S22" s="523"/>
      <c r="T22" s="523"/>
      <c r="U22" s="533"/>
    </row>
    <row r="23" spans="3:21" ht="15">
      <c r="C23" s="13" t="s">
        <v>17</v>
      </c>
      <c r="D23" s="11" t="s">
        <v>19</v>
      </c>
      <c r="G23" t="s">
        <v>40</v>
      </c>
      <c r="U23" s="533"/>
    </row>
    <row r="24" spans="3:21" ht="18">
      <c r="C24" s="3"/>
      <c r="D24" s="11" t="s">
        <v>18</v>
      </c>
      <c r="K24" t="s">
        <v>416</v>
      </c>
      <c r="U24" s="533"/>
    </row>
    <row r="25" spans="4:21" ht="12.75">
      <c r="D25" s="11" t="s">
        <v>16</v>
      </c>
      <c r="U25" s="533"/>
    </row>
    <row r="26" spans="4:21" ht="12.75">
      <c r="D26" s="14" t="s">
        <v>20</v>
      </c>
      <c r="U26" s="533"/>
    </row>
    <row r="27" spans="3:21" ht="15">
      <c r="C27" s="13" t="s">
        <v>21</v>
      </c>
      <c r="D27" s="11" t="s">
        <v>22</v>
      </c>
      <c r="U27" s="533"/>
    </row>
    <row r="28" spans="3:21" ht="18">
      <c r="C28" s="3"/>
      <c r="D28" s="11" t="s">
        <v>18</v>
      </c>
      <c r="U28" s="533"/>
    </row>
    <row r="29" spans="4:21" ht="12.75">
      <c r="D29" s="11"/>
      <c r="U29" s="533"/>
    </row>
    <row r="30" spans="3:21" ht="15">
      <c r="C30" s="13" t="s">
        <v>23</v>
      </c>
      <c r="D30" s="11" t="s">
        <v>8</v>
      </c>
      <c r="U30" s="533"/>
    </row>
    <row r="31" spans="3:21" ht="18">
      <c r="C31" s="12"/>
      <c r="D31" s="11" t="s">
        <v>9</v>
      </c>
      <c r="U31" s="533"/>
    </row>
    <row r="32" spans="3:4" ht="18">
      <c r="C32" s="12"/>
      <c r="D32" s="11" t="s">
        <v>10</v>
      </c>
    </row>
    <row r="34" spans="2:4" ht="23.25">
      <c r="B34" s="7" t="s">
        <v>4</v>
      </c>
      <c r="C34" s="8" t="s">
        <v>265</v>
      </c>
      <c r="D34" s="9" t="s">
        <v>267</v>
      </c>
    </row>
    <row r="35" spans="3:4" ht="18">
      <c r="C35" s="12"/>
      <c r="D35" s="9" t="s">
        <v>2</v>
      </c>
    </row>
    <row r="36" spans="3:4" ht="18">
      <c r="C36" s="12"/>
      <c r="D36" s="9" t="s">
        <v>3</v>
      </c>
    </row>
    <row r="37" spans="3:4" ht="18">
      <c r="C37" s="8" t="s">
        <v>266</v>
      </c>
      <c r="D37" s="9" t="s">
        <v>1</v>
      </c>
    </row>
    <row r="38" spans="3:4" ht="18">
      <c r="C38" s="12"/>
      <c r="D38" s="9" t="s">
        <v>2</v>
      </c>
    </row>
    <row r="39" spans="3:4" ht="18">
      <c r="C39" s="12"/>
      <c r="D39" s="9" t="s">
        <v>3</v>
      </c>
    </row>
    <row r="40" spans="3:4" ht="18">
      <c r="C40" s="8" t="s">
        <v>268</v>
      </c>
      <c r="D40" s="9" t="s">
        <v>1</v>
      </c>
    </row>
    <row r="41" ht="12.75">
      <c r="D41" s="9" t="s">
        <v>2</v>
      </c>
    </row>
    <row r="42" ht="12.75">
      <c r="D42" s="9" t="s">
        <v>3</v>
      </c>
    </row>
    <row r="44" spans="2:4" ht="23.25">
      <c r="B44" s="6" t="s">
        <v>269</v>
      </c>
      <c r="C44" s="5" t="s">
        <v>270</v>
      </c>
      <c r="D44" s="4" t="s">
        <v>273</v>
      </c>
    </row>
    <row r="45" spans="2:4" ht="23.25">
      <c r="B45" s="521"/>
      <c r="C45" s="314"/>
      <c r="D45" s="4" t="s">
        <v>274</v>
      </c>
    </row>
    <row r="46" spans="2:4" ht="23.25">
      <c r="B46" s="521"/>
      <c r="C46" s="314"/>
      <c r="D46" s="4" t="s">
        <v>275</v>
      </c>
    </row>
    <row r="47" spans="2:4" ht="23.25">
      <c r="B47" s="521"/>
      <c r="C47" s="314"/>
      <c r="D47" s="4" t="s">
        <v>366</v>
      </c>
    </row>
    <row r="48" spans="2:4" ht="23.25">
      <c r="B48" s="521"/>
      <c r="C48" s="314" t="s">
        <v>543</v>
      </c>
      <c r="D48" s="4"/>
    </row>
    <row r="49" spans="3:4" ht="18">
      <c r="C49" s="314" t="s">
        <v>544</v>
      </c>
      <c r="D49" s="690" t="s">
        <v>545</v>
      </c>
    </row>
    <row r="50" spans="3:4" ht="18">
      <c r="C50" s="314"/>
      <c r="D50" s="690" t="s">
        <v>546</v>
      </c>
    </row>
    <row r="51" spans="3:4" ht="18">
      <c r="C51" s="5" t="s">
        <v>271</v>
      </c>
      <c r="D51" s="4" t="s">
        <v>276</v>
      </c>
    </row>
    <row r="52" spans="3:4" ht="18">
      <c r="C52" s="314"/>
      <c r="D52" s="4" t="s">
        <v>2</v>
      </c>
    </row>
    <row r="53" spans="3:4" ht="18">
      <c r="C53" s="314"/>
      <c r="D53" s="4" t="s">
        <v>3</v>
      </c>
    </row>
    <row r="54" spans="3:4" ht="18">
      <c r="C54" s="5" t="s">
        <v>272</v>
      </c>
      <c r="D54" s="4" t="s">
        <v>277</v>
      </c>
    </row>
    <row r="55" ht="12.75">
      <c r="D55" s="4" t="s">
        <v>278</v>
      </c>
    </row>
    <row r="56" ht="12.75">
      <c r="D56" s="4" t="s">
        <v>279</v>
      </c>
    </row>
    <row r="58" spans="2:4" ht="23.25">
      <c r="B58" s="6" t="s">
        <v>536</v>
      </c>
      <c r="C58" s="5" t="s">
        <v>537</v>
      </c>
      <c r="D58" s="4"/>
    </row>
    <row r="59" spans="2:4" ht="23.25">
      <c r="B59" s="521"/>
      <c r="C59" s="314" t="s">
        <v>538</v>
      </c>
      <c r="D59" s="4"/>
    </row>
    <row r="60" spans="2:4" ht="23.25">
      <c r="B60" s="521"/>
      <c r="C60" s="314" t="s">
        <v>539</v>
      </c>
      <c r="D60" s="4"/>
    </row>
    <row r="61" spans="2:4" ht="23.25">
      <c r="B61" s="521"/>
      <c r="C61" s="314" t="s">
        <v>540</v>
      </c>
      <c r="D61" s="4"/>
    </row>
    <row r="62" spans="2:4" ht="23.25">
      <c r="B62" s="521"/>
      <c r="C62" s="314" t="s">
        <v>541</v>
      </c>
      <c r="D62" s="4"/>
    </row>
    <row r="63" ht="18">
      <c r="C63" s="689" t="s">
        <v>542</v>
      </c>
    </row>
  </sheetData>
  <sheetProtection/>
  <mergeCells count="1">
    <mergeCell ref="B3:D3"/>
  </mergeCells>
  <printOptions/>
  <pageMargins left="0.75" right="0.75" top="1" bottom="1" header="0.5" footer="0.5"/>
  <pageSetup fitToHeight="1" fitToWidth="1" horizontalDpi="600" verticalDpi="600" orientation="landscape" paperSize="3" scale="54" r:id="rId1"/>
</worksheet>
</file>

<file path=xl/worksheets/sheet2.xml><?xml version="1.0" encoding="utf-8"?>
<worksheet xmlns="http://schemas.openxmlformats.org/spreadsheetml/2006/main" xmlns:r="http://schemas.openxmlformats.org/officeDocument/2006/relationships">
  <sheetPr>
    <pageSetUpPr fitToPage="1"/>
  </sheetPr>
  <dimension ref="A1:O76"/>
  <sheetViews>
    <sheetView zoomScale="150" zoomScaleNormal="150" zoomScalePageLayoutView="0" workbookViewId="0" topLeftCell="A38">
      <selection activeCell="A19" sqref="A19"/>
    </sheetView>
  </sheetViews>
  <sheetFormatPr defaultColWidth="9.140625" defaultRowHeight="12.75"/>
  <cols>
    <col min="1" max="1" width="45.7109375" style="0" customWidth="1"/>
    <col min="2" max="2" width="14.8515625" style="0" customWidth="1"/>
    <col min="3" max="3" width="45.8515625" style="0" customWidth="1"/>
    <col min="4" max="5" width="9.28125" style="0" bestFit="1" customWidth="1"/>
    <col min="6" max="6" width="10.28125" style="0" bestFit="1" customWidth="1"/>
    <col min="7" max="7" width="10.140625" style="0" customWidth="1"/>
    <col min="10" max="10" width="26.421875" style="0" customWidth="1"/>
    <col min="14" max="14" width="10.57421875" style="0" customWidth="1"/>
  </cols>
  <sheetData>
    <row r="1" spans="1:12" ht="18">
      <c r="A1" s="717" t="s">
        <v>580</v>
      </c>
      <c r="C1" s="294" t="s">
        <v>248</v>
      </c>
      <c r="E1" t="s">
        <v>298</v>
      </c>
      <c r="G1" s="28" t="s">
        <v>218</v>
      </c>
      <c r="H1" s="28"/>
      <c r="I1" s="28"/>
      <c r="J1" s="28" t="s">
        <v>222</v>
      </c>
      <c r="K1" s="28"/>
      <c r="L1" s="28"/>
    </row>
    <row r="2" spans="2:15" ht="12.75">
      <c r="B2" s="28"/>
      <c r="C2" t="s">
        <v>244</v>
      </c>
      <c r="E2" t="s">
        <v>299</v>
      </c>
      <c r="G2" s="28" t="s">
        <v>219</v>
      </c>
      <c r="H2" s="28"/>
      <c r="I2" s="28"/>
      <c r="J2" s="28" t="s">
        <v>225</v>
      </c>
      <c r="K2" s="28"/>
      <c r="L2" s="28"/>
      <c r="M2" s="28"/>
      <c r="O2" s="28"/>
    </row>
    <row r="3" spans="1:14" ht="12.75">
      <c r="A3" s="28" t="s">
        <v>581</v>
      </c>
      <c r="B3" s="27"/>
      <c r="C3" t="s">
        <v>169</v>
      </c>
      <c r="E3" t="s">
        <v>300</v>
      </c>
      <c r="G3" s="288" t="s">
        <v>220</v>
      </c>
      <c r="H3" s="288"/>
      <c r="I3" s="288"/>
      <c r="J3" s="288" t="s">
        <v>234</v>
      </c>
      <c r="K3" s="288"/>
      <c r="L3" s="288"/>
      <c r="M3" s="27"/>
      <c r="N3" s="27"/>
    </row>
    <row r="4" spans="1:14" ht="12.75">
      <c r="A4" s="28" t="s">
        <v>216</v>
      </c>
      <c r="B4" s="27"/>
      <c r="C4" t="s">
        <v>297</v>
      </c>
      <c r="E4" t="s">
        <v>301</v>
      </c>
      <c r="G4" s="288" t="s">
        <v>221</v>
      </c>
      <c r="H4" s="288"/>
      <c r="I4" s="288"/>
      <c r="J4" s="288" t="s">
        <v>226</v>
      </c>
      <c r="K4" s="288"/>
      <c r="L4" s="288"/>
      <c r="M4" s="27"/>
      <c r="N4" s="27"/>
    </row>
    <row r="5" spans="1:14" ht="12.75">
      <c r="A5" s="28" t="s">
        <v>217</v>
      </c>
      <c r="B5" s="27"/>
      <c r="E5" t="s">
        <v>302</v>
      </c>
      <c r="G5" s="288"/>
      <c r="H5" s="288"/>
      <c r="I5" s="288"/>
      <c r="J5" s="288" t="s">
        <v>233</v>
      </c>
      <c r="K5" s="288"/>
      <c r="L5" s="288"/>
      <c r="M5" s="27"/>
      <c r="N5" s="27"/>
    </row>
    <row r="6" spans="1:14" ht="12.75">
      <c r="A6" s="288" t="s">
        <v>224</v>
      </c>
      <c r="B6" s="27"/>
      <c r="E6" t="s">
        <v>303</v>
      </c>
      <c r="G6" s="288"/>
      <c r="H6" s="288"/>
      <c r="I6" s="288"/>
      <c r="J6" s="288" t="s">
        <v>243</v>
      </c>
      <c r="K6" s="288"/>
      <c r="L6" s="288"/>
      <c r="M6" s="27"/>
      <c r="N6" s="27"/>
    </row>
    <row r="7" spans="1:14" ht="12.75">
      <c r="A7" s="288" t="s">
        <v>223</v>
      </c>
      <c r="B7" s="27"/>
      <c r="E7" t="s">
        <v>304</v>
      </c>
      <c r="G7" s="288"/>
      <c r="H7" s="288"/>
      <c r="I7" s="288"/>
      <c r="J7" s="28" t="s">
        <v>227</v>
      </c>
      <c r="K7" s="288"/>
      <c r="L7" s="288"/>
      <c r="M7" s="27"/>
      <c r="N7" s="27"/>
    </row>
    <row r="8" spans="1:14" ht="12.75">
      <c r="A8" s="288" t="s">
        <v>582</v>
      </c>
      <c r="B8" s="27"/>
      <c r="C8" s="27"/>
      <c r="D8" s="27"/>
      <c r="E8" s="27"/>
      <c r="F8" s="27"/>
      <c r="G8" s="27"/>
      <c r="H8" s="27"/>
      <c r="I8" s="27"/>
      <c r="J8" s="27"/>
      <c r="K8" s="27"/>
      <c r="L8" s="27"/>
      <c r="M8" s="27"/>
      <c r="N8" s="27"/>
    </row>
    <row r="9" spans="1:14" ht="17.25" customHeight="1" thickBot="1">
      <c r="A9" s="28" t="s">
        <v>228</v>
      </c>
      <c r="B9" s="27"/>
      <c r="H9" s="377"/>
      <c r="I9" s="27"/>
      <c r="J9" s="27"/>
      <c r="K9" s="27"/>
      <c r="L9" s="27"/>
      <c r="M9" s="27"/>
      <c r="N9" s="27"/>
    </row>
    <row r="10" spans="1:14" ht="28.5" customHeight="1">
      <c r="A10" s="28" t="s">
        <v>229</v>
      </c>
      <c r="B10" s="377"/>
      <c r="C10" s="729" t="s">
        <v>259</v>
      </c>
      <c r="D10" s="730"/>
      <c r="E10" s="730"/>
      <c r="F10" s="730"/>
      <c r="G10" s="731"/>
      <c r="H10" s="27"/>
      <c r="I10" s="27"/>
      <c r="J10" s="295" t="s">
        <v>246</v>
      </c>
      <c r="K10" s="27"/>
      <c r="L10" s="27"/>
      <c r="M10" s="27"/>
      <c r="N10" s="27"/>
    </row>
    <row r="11" spans="1:11" ht="15">
      <c r="A11" s="28" t="s">
        <v>230</v>
      </c>
      <c r="B11" s="31"/>
      <c r="C11" s="37" t="s">
        <v>247</v>
      </c>
      <c r="D11" s="358">
        <v>0.2</v>
      </c>
      <c r="E11" s="358">
        <v>0.175</v>
      </c>
      <c r="F11" s="358">
        <v>0.155</v>
      </c>
      <c r="G11" s="359">
        <v>0.135</v>
      </c>
      <c r="J11" s="296" t="s">
        <v>250</v>
      </c>
      <c r="K11">
        <v>65</v>
      </c>
    </row>
    <row r="12" spans="1:14" ht="18">
      <c r="A12" s="28" t="s">
        <v>231</v>
      </c>
      <c r="B12" s="31"/>
      <c r="C12" s="378" t="s">
        <v>316</v>
      </c>
      <c r="D12" s="386">
        <v>500</v>
      </c>
      <c r="E12" s="386">
        <v>1000</v>
      </c>
      <c r="F12" s="386">
        <v>2000</v>
      </c>
      <c r="G12" s="387">
        <v>4000</v>
      </c>
      <c r="J12" s="297" t="s">
        <v>249</v>
      </c>
      <c r="K12" s="298">
        <v>500</v>
      </c>
      <c r="L12" s="298">
        <v>1000</v>
      </c>
      <c r="M12" s="298">
        <v>2000</v>
      </c>
      <c r="N12" s="298">
        <v>4000</v>
      </c>
    </row>
    <row r="13" spans="1:7" ht="12.75">
      <c r="A13" s="28" t="s">
        <v>232</v>
      </c>
      <c r="B13" s="31"/>
      <c r="C13" s="379" t="s">
        <v>317</v>
      </c>
      <c r="D13" s="299">
        <f>D12/$K11</f>
        <v>7.6923076923076925</v>
      </c>
      <c r="E13" s="299">
        <f>E12/$K11</f>
        <v>15.384615384615385</v>
      </c>
      <c r="F13" s="299">
        <f>F12/$K11</f>
        <v>30.76923076923077</v>
      </c>
      <c r="G13" s="300">
        <f>G12/$K11</f>
        <v>61.53846153846154</v>
      </c>
    </row>
    <row r="14" spans="2:14" ht="15.75">
      <c r="B14" s="31"/>
      <c r="C14" s="380" t="s">
        <v>320</v>
      </c>
      <c r="D14" s="308">
        <v>375</v>
      </c>
      <c r="E14" s="308">
        <v>700</v>
      </c>
      <c r="F14" s="308">
        <v>1600</v>
      </c>
      <c r="G14" s="309">
        <v>3000</v>
      </c>
      <c r="K14" s="17"/>
      <c r="L14" s="17"/>
      <c r="M14" s="17"/>
      <c r="N14" s="17"/>
    </row>
    <row r="15" spans="1:14" ht="15.75">
      <c r="A15" t="s">
        <v>235</v>
      </c>
      <c r="B15" s="31"/>
      <c r="C15" s="380" t="s">
        <v>321</v>
      </c>
      <c r="D15" s="354">
        <f>D14/D12</f>
        <v>0.75</v>
      </c>
      <c r="E15" s="354">
        <f>E14/E12</f>
        <v>0.7</v>
      </c>
      <c r="F15" s="354">
        <f>F14/F12</f>
        <v>0.8</v>
      </c>
      <c r="G15" s="355">
        <f>G14/G12</f>
        <v>0.75</v>
      </c>
      <c r="J15" s="19"/>
      <c r="K15" s="289"/>
      <c r="L15" s="289"/>
      <c r="M15" s="289"/>
      <c r="N15" s="289"/>
    </row>
    <row r="16" spans="1:14" ht="15.75">
      <c r="A16" t="s">
        <v>238</v>
      </c>
      <c r="B16" s="31"/>
      <c r="C16" s="381" t="s">
        <v>65</v>
      </c>
      <c r="D16" s="310">
        <v>253</v>
      </c>
      <c r="E16" s="310">
        <v>557</v>
      </c>
      <c r="F16" s="310">
        <v>1123</v>
      </c>
      <c r="G16" s="311">
        <v>2416</v>
      </c>
      <c r="J16" s="21"/>
      <c r="K16" s="290"/>
      <c r="L16" s="290"/>
      <c r="M16" s="290"/>
      <c r="N16" s="290"/>
    </row>
    <row r="17" spans="1:14" ht="15.75">
      <c r="A17" t="s">
        <v>59</v>
      </c>
      <c r="B17" s="31"/>
      <c r="C17" s="381" t="s">
        <v>66</v>
      </c>
      <c r="D17" s="356">
        <f>D16/D12</f>
        <v>0.506</v>
      </c>
      <c r="E17" s="356">
        <f>E16/E12</f>
        <v>0.557</v>
      </c>
      <c r="F17" s="356">
        <f>F16/F12</f>
        <v>0.5615</v>
      </c>
      <c r="G17" s="357">
        <f>G16/G12</f>
        <v>0.604</v>
      </c>
      <c r="J17" s="21"/>
      <c r="K17" s="291"/>
      <c r="L17" s="291"/>
      <c r="M17" s="291"/>
      <c r="N17" s="291"/>
    </row>
    <row r="18" spans="1:14" ht="15.75">
      <c r="A18" t="s">
        <v>237</v>
      </c>
      <c r="B18" s="31"/>
      <c r="C18" s="382" t="s">
        <v>319</v>
      </c>
      <c r="D18" s="312">
        <v>0.8</v>
      </c>
      <c r="E18" s="312">
        <v>0.85</v>
      </c>
      <c r="F18" s="312">
        <v>0.85</v>
      </c>
      <c r="G18" s="313">
        <v>0.9</v>
      </c>
      <c r="J18" s="24"/>
      <c r="K18" s="292"/>
      <c r="L18" s="292"/>
      <c r="M18" s="292"/>
      <c r="N18" s="292"/>
    </row>
    <row r="19" spans="1:14" ht="15.75">
      <c r="A19" t="s">
        <v>236</v>
      </c>
      <c r="B19" s="31"/>
      <c r="C19" s="55" t="s">
        <v>318</v>
      </c>
      <c r="D19" s="293">
        <v>0.48</v>
      </c>
      <c r="E19" s="293">
        <v>0.53</v>
      </c>
      <c r="F19" s="293">
        <v>0.62</v>
      </c>
      <c r="G19" s="303">
        <v>0.71</v>
      </c>
      <c r="J19" s="16"/>
      <c r="K19" s="293"/>
      <c r="L19" s="293"/>
      <c r="M19" s="293"/>
      <c r="N19" s="293"/>
    </row>
    <row r="20" spans="1:7" ht="12.75">
      <c r="A20" t="s">
        <v>239</v>
      </c>
      <c r="B20" s="31"/>
      <c r="C20" s="36"/>
      <c r="D20" s="31"/>
      <c r="E20" s="31"/>
      <c r="F20" s="31"/>
      <c r="G20" s="39"/>
    </row>
    <row r="21" spans="1:7" ht="15.75">
      <c r="A21" t="s">
        <v>240</v>
      </c>
      <c r="B21" s="31"/>
      <c r="C21" s="273" t="s">
        <v>182</v>
      </c>
      <c r="D21" s="362">
        <f>'Pump TimeCost'!$B$14/'Pump TimeCost'!$B$15*60</f>
        <v>54.54545454545455</v>
      </c>
      <c r="E21" s="362">
        <f>D21+(Perceps!E16-D16)/100*'Pump TimeCost'!$C$5</f>
        <v>59.22237762237762</v>
      </c>
      <c r="F21" s="362">
        <f>E21+(Perceps!F16-E16)/100*'Pump TimeCost'!$C$5</f>
        <v>67.93006993006993</v>
      </c>
      <c r="G21" s="363">
        <f>F21+(Perceps!G16-F16)/100*'Pump TimeCost'!$C$5</f>
        <v>87.82237762237762</v>
      </c>
    </row>
    <row r="22" spans="1:14" ht="15.75">
      <c r="A22" t="s">
        <v>241</v>
      </c>
      <c r="B22" s="31"/>
      <c r="C22" s="383" t="s">
        <v>67</v>
      </c>
      <c r="D22" s="304">
        <f>'Pump TimeCost'!$B$12/60*D21</f>
        <v>44.92701187701188</v>
      </c>
      <c r="E22" s="304">
        <f>'Pump TimeCost'!$B$12/60*E21</f>
        <v>48.77921515179976</v>
      </c>
      <c r="F22" s="304">
        <f>'Pump TimeCost'!$B$12/60*F21</f>
        <v>55.95140940683248</v>
      </c>
      <c r="G22" s="305">
        <f>'Pump TimeCost'!$B$12/60*G21</f>
        <v>72.33594504597966</v>
      </c>
      <c r="J22" s="19"/>
      <c r="K22" s="26"/>
      <c r="L22" s="26"/>
      <c r="M22" s="26"/>
      <c r="N22" s="26"/>
    </row>
    <row r="23" spans="1:14" ht="15.75">
      <c r="A23" t="s">
        <v>305</v>
      </c>
      <c r="B23" s="31"/>
      <c r="C23" s="384" t="s">
        <v>245</v>
      </c>
      <c r="D23" s="306">
        <f>D16*D$11</f>
        <v>50.6</v>
      </c>
      <c r="E23" s="306">
        <f>E16*E$11</f>
        <v>97.475</v>
      </c>
      <c r="F23" s="306">
        <f>F16*F$11</f>
        <v>174.065</v>
      </c>
      <c r="G23" s="307">
        <f>G16*G$11</f>
        <v>326.16</v>
      </c>
      <c r="J23" s="19"/>
      <c r="K23" s="20"/>
      <c r="L23" s="20"/>
      <c r="M23" s="20"/>
      <c r="N23" s="20"/>
    </row>
    <row r="24" spans="1:14" ht="16.5" thickBot="1">
      <c r="A24" t="s">
        <v>242</v>
      </c>
      <c r="B24" s="31"/>
      <c r="C24" s="385" t="s">
        <v>322</v>
      </c>
      <c r="D24" s="360">
        <f>D23-D22</f>
        <v>5.672988122988123</v>
      </c>
      <c r="E24" s="360">
        <f>E23-E22</f>
        <v>48.69578484820023</v>
      </c>
      <c r="F24" s="360">
        <f>F23-F22</f>
        <v>118.11359059316752</v>
      </c>
      <c r="G24" s="361">
        <f>G23-G22</f>
        <v>253.82405495402037</v>
      </c>
      <c r="J24" s="21"/>
      <c r="K24" s="22"/>
      <c r="L24" s="22"/>
      <c r="M24" s="22"/>
      <c r="N24" s="22"/>
    </row>
    <row r="25" spans="2:14" ht="15.75">
      <c r="B25" s="31"/>
      <c r="C25" s="31"/>
      <c r="D25" s="31"/>
      <c r="E25" s="31"/>
      <c r="F25" s="31"/>
      <c r="G25" s="31"/>
      <c r="J25" s="21"/>
      <c r="K25" s="23"/>
      <c r="L25" s="23"/>
      <c r="M25" s="23"/>
      <c r="N25" s="23"/>
    </row>
    <row r="26" spans="2:14" ht="15.75">
      <c r="B26" s="31"/>
      <c r="C26" s="301"/>
      <c r="D26" s="292"/>
      <c r="E26" s="292"/>
      <c r="F26" s="292"/>
      <c r="G26" s="292"/>
      <c r="J26" s="24"/>
      <c r="K26" s="25"/>
      <c r="L26" s="25"/>
      <c r="M26" s="25"/>
      <c r="N26" s="25"/>
    </row>
    <row r="27" spans="2:14" ht="15.75">
      <c r="B27" s="31"/>
      <c r="C27" s="302"/>
      <c r="D27" s="293"/>
      <c r="E27" s="293"/>
      <c r="F27" s="293"/>
      <c r="G27" s="293"/>
      <c r="J27" s="16"/>
      <c r="K27" s="18"/>
      <c r="L27" s="18"/>
      <c r="M27" s="18"/>
      <c r="N27" s="18"/>
    </row>
    <row r="29" spans="2:7" ht="18">
      <c r="B29" s="27"/>
      <c r="C29" s="294"/>
      <c r="D29" s="27"/>
      <c r="E29" s="27"/>
      <c r="F29" s="27"/>
      <c r="G29" s="27"/>
    </row>
    <row r="30" ht="13.5" thickBot="1"/>
    <row r="31" spans="2:8" ht="20.25" customHeight="1">
      <c r="B31" s="388"/>
      <c r="C31" s="732" t="s">
        <v>310</v>
      </c>
      <c r="D31" s="733"/>
      <c r="E31" s="733"/>
      <c r="F31" s="733"/>
      <c r="G31" s="734"/>
      <c r="H31" s="388"/>
    </row>
    <row r="32" spans="2:7" ht="15.75">
      <c r="B32" s="31"/>
      <c r="C32" s="389" t="s">
        <v>311</v>
      </c>
      <c r="D32" s="312">
        <v>0.8</v>
      </c>
      <c r="E32" s="312">
        <v>0.85</v>
      </c>
      <c r="F32" s="312">
        <v>0.85</v>
      </c>
      <c r="G32" s="313">
        <v>0.9</v>
      </c>
    </row>
    <row r="33" spans="2:7" ht="18">
      <c r="B33" s="31"/>
      <c r="C33" s="378" t="s">
        <v>316</v>
      </c>
      <c r="D33" s="386">
        <v>500</v>
      </c>
      <c r="E33" s="386">
        <v>1000</v>
      </c>
      <c r="F33" s="386">
        <v>2000</v>
      </c>
      <c r="G33" s="387">
        <v>4000</v>
      </c>
    </row>
    <row r="34" spans="2:7" ht="15.75">
      <c r="B34" s="31"/>
      <c r="C34" s="390" t="s">
        <v>323</v>
      </c>
      <c r="D34" s="365">
        <v>253</v>
      </c>
      <c r="E34" s="365">
        <v>557</v>
      </c>
      <c r="F34" s="365">
        <v>1123</v>
      </c>
      <c r="G34" s="366">
        <v>2416</v>
      </c>
    </row>
    <row r="35" spans="2:7" ht="15.75">
      <c r="B35" s="31"/>
      <c r="C35" s="390" t="s">
        <v>66</v>
      </c>
      <c r="D35" s="367">
        <f>D34/D33</f>
        <v>0.506</v>
      </c>
      <c r="E35" s="367">
        <f>E34/E33</f>
        <v>0.557</v>
      </c>
      <c r="F35" s="367">
        <f>F34/F33</f>
        <v>0.5615</v>
      </c>
      <c r="G35" s="391">
        <f>G34/G33</f>
        <v>0.604</v>
      </c>
    </row>
    <row r="36" spans="2:7" ht="15.75">
      <c r="B36" s="31"/>
      <c r="C36" s="392" t="s">
        <v>309</v>
      </c>
      <c r="D36" s="364">
        <v>396</v>
      </c>
      <c r="E36" s="364">
        <f>E33*E32</f>
        <v>850</v>
      </c>
      <c r="F36" s="364">
        <f>F33*F32</f>
        <v>1700</v>
      </c>
      <c r="G36" s="393">
        <f>G33*G32</f>
        <v>3600</v>
      </c>
    </row>
    <row r="37" spans="2:7" ht="15.75">
      <c r="B37" s="31"/>
      <c r="C37" s="392" t="s">
        <v>312</v>
      </c>
      <c r="D37" s="368">
        <f>D36/D33</f>
        <v>0.792</v>
      </c>
      <c r="E37" s="368">
        <f>E36/E33</f>
        <v>0.85</v>
      </c>
      <c r="F37" s="368">
        <f>F36/F33</f>
        <v>0.85</v>
      </c>
      <c r="G37" s="369">
        <f>G36/G33</f>
        <v>0.9</v>
      </c>
    </row>
    <row r="38" spans="2:7" ht="15.75">
      <c r="B38" s="31"/>
      <c r="C38" s="55" t="s">
        <v>313</v>
      </c>
      <c r="D38" s="293">
        <v>0.48</v>
      </c>
      <c r="E38" s="293">
        <v>0.53</v>
      </c>
      <c r="F38" s="293">
        <v>0.62</v>
      </c>
      <c r="G38" s="303">
        <v>0.71</v>
      </c>
    </row>
    <row r="39" spans="2:7" ht="12.75">
      <c r="B39" s="31"/>
      <c r="C39" s="36"/>
      <c r="D39" s="31"/>
      <c r="E39" s="31"/>
      <c r="F39" s="31"/>
      <c r="G39" s="39"/>
    </row>
    <row r="40" spans="2:7" ht="15.75">
      <c r="B40" s="31"/>
      <c r="C40" s="273" t="s">
        <v>182</v>
      </c>
      <c r="D40" s="362">
        <f>D21+(Perceps!D36-D21)/100*'Pump TimeCost'!$C$5</f>
        <v>59.7986013986014</v>
      </c>
      <c r="E40" s="362">
        <f>D40+(Perceps!E36-D36)/100*'Pump TimeCost'!$C$5</f>
        <v>66.78321678321679</v>
      </c>
      <c r="F40" s="362">
        <f>E40+(Perceps!F36-E36)/100*'Pump TimeCost'!$C$5</f>
        <v>79.86013986013987</v>
      </c>
      <c r="G40" s="363">
        <f>F40+(Perceps!G36-F36)/100*'Pump TimeCost'!$C$5</f>
        <v>109.0909090909091</v>
      </c>
    </row>
    <row r="41" spans="2:7" ht="15.75">
      <c r="B41" s="31"/>
      <c r="C41" s="383" t="s">
        <v>315</v>
      </c>
      <c r="D41" s="304">
        <f>'Pump TimeCost'!$B$12/60*D40</f>
        <v>49.253828713167174</v>
      </c>
      <c r="E41" s="304">
        <f>'Pump TimeCost'!$B$12/60*E40</f>
        <v>55.00679018275172</v>
      </c>
      <c r="F41" s="304">
        <f>'Pump TimeCost'!$B$12/60*F40</f>
        <v>65.77775328659945</v>
      </c>
      <c r="G41" s="305">
        <f>'Pump TimeCost'!$B$12/60*G40</f>
        <v>89.85402375402376</v>
      </c>
    </row>
    <row r="42" spans="1:7" ht="15.75">
      <c r="A42" s="718" t="s">
        <v>587</v>
      </c>
      <c r="B42" s="31"/>
      <c r="C42" s="384" t="s">
        <v>314</v>
      </c>
      <c r="D42" s="306">
        <f>D36*D$11</f>
        <v>79.2</v>
      </c>
      <c r="E42" s="306">
        <f>E36*E$11</f>
        <v>148.75</v>
      </c>
      <c r="F42" s="306">
        <f>F36*F$11</f>
        <v>263.5</v>
      </c>
      <c r="G42" s="307">
        <f>G36*G$11</f>
        <v>486.00000000000006</v>
      </c>
    </row>
    <row r="43" spans="2:7" ht="16.5" thickBot="1">
      <c r="B43" s="31"/>
      <c r="C43" s="385" t="s">
        <v>322</v>
      </c>
      <c r="D43" s="398">
        <f>D42-D41</f>
        <v>29.94617128683283</v>
      </c>
      <c r="E43" s="398">
        <f>E42-E41</f>
        <v>93.74320981724827</v>
      </c>
      <c r="F43" s="398">
        <f>F42-F41</f>
        <v>197.72224671340055</v>
      </c>
      <c r="G43" s="399">
        <f>G42-G41</f>
        <v>396.14597624597627</v>
      </c>
    </row>
    <row r="44" spans="1:7" ht="15.75">
      <c r="A44" s="717" t="s">
        <v>583</v>
      </c>
      <c r="B44" s="31"/>
      <c r="C44" s="55" t="s">
        <v>324</v>
      </c>
      <c r="D44" s="352">
        <f aca="true" t="shared" si="0" ref="D44:G45">D23</f>
        <v>50.6</v>
      </c>
      <c r="E44" s="352">
        <f t="shared" si="0"/>
        <v>97.475</v>
      </c>
      <c r="F44" s="352">
        <f t="shared" si="0"/>
        <v>174.065</v>
      </c>
      <c r="G44" s="353">
        <f t="shared" si="0"/>
        <v>326.16</v>
      </c>
    </row>
    <row r="45" spans="1:7" ht="15.75">
      <c r="A45" s="718" t="s">
        <v>584</v>
      </c>
      <c r="B45" s="31"/>
      <c r="C45" s="55" t="s">
        <v>325</v>
      </c>
      <c r="D45" s="352">
        <f t="shared" si="0"/>
        <v>5.672988122988123</v>
      </c>
      <c r="E45" s="352">
        <f t="shared" si="0"/>
        <v>48.69578484820023</v>
      </c>
      <c r="F45" s="352">
        <f t="shared" si="0"/>
        <v>118.11359059316752</v>
      </c>
      <c r="G45" s="353">
        <f t="shared" si="0"/>
        <v>253.82405495402037</v>
      </c>
    </row>
    <row r="46" spans="1:7" ht="15.75">
      <c r="A46" s="718" t="s">
        <v>585</v>
      </c>
      <c r="B46" s="31"/>
      <c r="C46" s="55" t="s">
        <v>66</v>
      </c>
      <c r="D46" s="376">
        <f>D45/D48</f>
        <v>0.23371422218072038</v>
      </c>
      <c r="E46" s="376">
        <f>E45/E48</f>
        <v>1.0809893103026194</v>
      </c>
      <c r="F46" s="376">
        <f>F45/F48</f>
        <v>1.4836777349284787</v>
      </c>
      <c r="G46" s="394">
        <f>G45/G48</f>
        <v>1.78345017162417</v>
      </c>
    </row>
    <row r="47" spans="1:7" ht="13.5" thickBot="1">
      <c r="A47" s="719" t="s">
        <v>586</v>
      </c>
      <c r="C47" s="395"/>
      <c r="D47" s="396"/>
      <c r="E47" s="396"/>
      <c r="F47" s="396"/>
      <c r="G47" s="397"/>
    </row>
    <row r="48" spans="2:7" ht="15.75">
      <c r="B48" s="31"/>
      <c r="C48" s="370" t="s">
        <v>326</v>
      </c>
      <c r="D48" s="371">
        <f>D43-D45</f>
        <v>24.273183163844706</v>
      </c>
      <c r="E48" s="371">
        <f>E43-E45</f>
        <v>45.04742496904804</v>
      </c>
      <c r="F48" s="371">
        <f>F43-F45</f>
        <v>79.60865612023304</v>
      </c>
      <c r="G48" s="372">
        <f>G43-G45</f>
        <v>142.3219212919559</v>
      </c>
    </row>
    <row r="49" spans="3:7" ht="16.5" thickBot="1">
      <c r="C49" s="373" t="s">
        <v>327</v>
      </c>
      <c r="D49" s="374">
        <f>D43/D48-1</f>
        <v>0.23371422218072047</v>
      </c>
      <c r="E49" s="374">
        <f>E43/E48-1</f>
        <v>1.0809893103026194</v>
      </c>
      <c r="F49" s="374">
        <f>F43/F48-1</f>
        <v>1.4836777349284787</v>
      </c>
      <c r="G49" s="375">
        <f>G43/G48-1</f>
        <v>1.7834501716241702</v>
      </c>
    </row>
    <row r="57" ht="12.75">
      <c r="A57" s="259"/>
    </row>
    <row r="58" ht="12.75">
      <c r="A58" s="259"/>
    </row>
    <row r="59" ht="12.75">
      <c r="A59" s="259"/>
    </row>
    <row r="60" ht="12.75">
      <c r="A60" s="259"/>
    </row>
    <row r="61" ht="12.75">
      <c r="A61" s="259"/>
    </row>
    <row r="62" ht="12.75">
      <c r="A62" s="259"/>
    </row>
    <row r="63" ht="12.75">
      <c r="A63" s="259"/>
    </row>
    <row r="64" ht="12.75">
      <c r="A64" s="259"/>
    </row>
    <row r="65" ht="12.75">
      <c r="A65" s="259"/>
    </row>
    <row r="66" ht="12.75">
      <c r="A66" s="259"/>
    </row>
    <row r="67" ht="18.75">
      <c r="A67" s="260"/>
    </row>
    <row r="70" spans="1:7" ht="36" customHeight="1">
      <c r="A70" s="728"/>
      <c r="B70" s="726"/>
      <c r="C70" s="726"/>
      <c r="D70" s="726"/>
      <c r="E70" s="726"/>
      <c r="F70" s="726"/>
      <c r="G70" s="726"/>
    </row>
    <row r="71" ht="9.75" customHeight="1"/>
    <row r="72" spans="1:4" ht="69" customHeight="1">
      <c r="A72" s="728"/>
      <c r="B72" s="726"/>
      <c r="C72" s="726"/>
      <c r="D72" s="726"/>
    </row>
    <row r="75" spans="1:8" ht="37.5" customHeight="1">
      <c r="A75" s="728"/>
      <c r="B75" s="726"/>
      <c r="C75" s="726"/>
      <c r="D75" s="726"/>
      <c r="E75" s="726"/>
      <c r="F75" s="726"/>
      <c r="G75" s="726"/>
      <c r="H75" s="726"/>
    </row>
    <row r="76" spans="1:8" ht="33" customHeight="1">
      <c r="A76" s="726"/>
      <c r="B76" s="726"/>
      <c r="C76" s="726"/>
      <c r="D76" s="726"/>
      <c r="E76" s="726"/>
      <c r="F76" s="726"/>
      <c r="G76" s="726"/>
      <c r="H76" s="726"/>
    </row>
  </sheetData>
  <sheetProtection/>
  <mergeCells count="5">
    <mergeCell ref="A75:H76"/>
    <mergeCell ref="C10:G10"/>
    <mergeCell ref="C31:G31"/>
    <mergeCell ref="A72:D72"/>
    <mergeCell ref="A70:G70"/>
  </mergeCells>
  <printOptions/>
  <pageMargins left="0.75" right="0.75" top="1" bottom="1" header="0.5" footer="0.5"/>
  <pageSetup fitToHeight="1" fitToWidth="1" horizontalDpi="600" verticalDpi="600" orientation="landscape" paperSize="3" scale="40" r:id="rId1"/>
</worksheet>
</file>

<file path=xl/worksheets/sheet3.xml><?xml version="1.0" encoding="utf-8"?>
<worksheet xmlns="http://schemas.openxmlformats.org/spreadsheetml/2006/main" xmlns:r="http://schemas.openxmlformats.org/officeDocument/2006/relationships">
  <sheetPr>
    <pageSetUpPr fitToPage="1"/>
  </sheetPr>
  <dimension ref="C8:Q28"/>
  <sheetViews>
    <sheetView zoomScalePageLayoutView="0" workbookViewId="0" topLeftCell="A1">
      <selection activeCell="C7" sqref="C7"/>
    </sheetView>
  </sheetViews>
  <sheetFormatPr defaultColWidth="9.140625" defaultRowHeight="12.75"/>
  <cols>
    <col min="3" max="3" width="45.00390625" style="0" customWidth="1"/>
    <col min="4" max="4" width="15.00390625" style="0" customWidth="1"/>
    <col min="5" max="5" width="3.28125" style="0" customWidth="1"/>
    <col min="6" max="6" width="13.140625" style="0" customWidth="1"/>
    <col min="7" max="7" width="2.421875" style="0" customWidth="1"/>
    <col min="8" max="8" width="50.57421875" style="0" customWidth="1"/>
    <col min="9" max="9" width="13.140625" style="0" customWidth="1"/>
    <col min="10" max="10" width="10.140625" style="0" customWidth="1"/>
    <col min="11" max="11" width="9.00390625" style="0" customWidth="1"/>
    <col min="15" max="17" width="11.00390625" style="0" bestFit="1" customWidth="1"/>
  </cols>
  <sheetData>
    <row r="8" spans="7:11" ht="12.75">
      <c r="G8" s="220"/>
      <c r="J8" s="226"/>
      <c r="K8" s="226"/>
    </row>
    <row r="9" spans="7:17" ht="21" thickBot="1">
      <c r="G9" s="220"/>
      <c r="H9" s="316" t="s">
        <v>174</v>
      </c>
      <c r="I9" s="317">
        <f>D18/D22</f>
        <v>0.9090909090909091</v>
      </c>
      <c r="J9" s="318"/>
      <c r="K9" s="318"/>
      <c r="L9" s="220"/>
      <c r="M9" s="220"/>
      <c r="N9" s="220"/>
      <c r="O9" s="220"/>
      <c r="P9" s="220"/>
      <c r="Q9" s="220"/>
    </row>
    <row r="10" spans="3:17" ht="18">
      <c r="C10" s="438" t="s">
        <v>70</v>
      </c>
      <c r="D10" s="439"/>
      <c r="E10" s="439"/>
      <c r="F10" s="439"/>
      <c r="G10" s="221"/>
      <c r="H10" s="319" t="s">
        <v>178</v>
      </c>
      <c r="I10" s="320"/>
      <c r="J10" s="320"/>
      <c r="K10" s="320"/>
      <c r="L10" s="220"/>
      <c r="M10" s="220"/>
      <c r="N10" s="220"/>
      <c r="O10" s="220"/>
      <c r="P10" s="220"/>
      <c r="Q10" s="220"/>
    </row>
    <row r="11" spans="3:17" ht="12.75">
      <c r="C11" s="179"/>
      <c r="D11" s="130"/>
      <c r="E11" s="130"/>
      <c r="F11" s="130"/>
      <c r="G11" s="222"/>
      <c r="H11" s="321"/>
      <c r="I11" s="322"/>
      <c r="J11" s="322"/>
      <c r="K11" s="322"/>
      <c r="L11" s="220"/>
      <c r="M11" s="220"/>
      <c r="N11" s="220"/>
      <c r="O11" s="220"/>
      <c r="P11" s="220"/>
      <c r="Q11" s="220"/>
    </row>
    <row r="12" spans="3:17" ht="15">
      <c r="C12" s="443" t="s">
        <v>71</v>
      </c>
      <c r="D12" s="460">
        <v>16</v>
      </c>
      <c r="E12" s="184"/>
      <c r="F12" s="184"/>
      <c r="G12" s="223"/>
      <c r="H12" s="323" t="s">
        <v>71</v>
      </c>
      <c r="I12" s="324">
        <f>D12</f>
        <v>16</v>
      </c>
      <c r="J12" s="325"/>
      <c r="K12" s="325"/>
      <c r="L12" s="220"/>
      <c r="M12" s="220"/>
      <c r="N12" s="220"/>
      <c r="O12" s="220"/>
      <c r="P12" s="220"/>
      <c r="Q12" s="220"/>
    </row>
    <row r="13" spans="3:17" ht="9.75" customHeight="1">
      <c r="C13" s="128"/>
      <c r="D13" s="129"/>
      <c r="E13" s="184"/>
      <c r="F13" s="184"/>
      <c r="G13" s="223"/>
      <c r="H13" s="326"/>
      <c r="I13" s="327"/>
      <c r="J13" s="325"/>
      <c r="K13" s="325"/>
      <c r="L13" s="220"/>
      <c r="M13" s="220"/>
      <c r="N13" s="220"/>
      <c r="O13" s="220"/>
      <c r="P13" s="220"/>
      <c r="Q13" s="220"/>
    </row>
    <row r="14" spans="3:17" ht="15">
      <c r="C14" s="443" t="s">
        <v>72</v>
      </c>
      <c r="D14" s="473">
        <v>0.35</v>
      </c>
      <c r="E14" s="184"/>
      <c r="F14" s="184"/>
      <c r="G14" s="223"/>
      <c r="H14" s="323" t="s">
        <v>72</v>
      </c>
      <c r="I14" s="328">
        <f>D14</f>
        <v>0.35</v>
      </c>
      <c r="J14" s="325"/>
      <c r="K14" s="325"/>
      <c r="L14" s="220"/>
      <c r="M14" s="220"/>
      <c r="N14" s="220"/>
      <c r="O14" s="220"/>
      <c r="P14" s="220"/>
      <c r="Q14" s="220"/>
    </row>
    <row r="15" spans="3:17" ht="9" customHeight="1">
      <c r="C15" s="474"/>
      <c r="D15" s="184"/>
      <c r="E15" s="184"/>
      <c r="F15" s="184"/>
      <c r="G15" s="223"/>
      <c r="H15" s="329"/>
      <c r="I15" s="325"/>
      <c r="J15" s="325"/>
      <c r="K15" s="325"/>
      <c r="L15" s="220"/>
      <c r="M15" s="220"/>
      <c r="N15" s="220"/>
      <c r="O15" s="220"/>
      <c r="P15" s="220"/>
      <c r="Q15" s="220"/>
    </row>
    <row r="16" spans="3:17" ht="15.75">
      <c r="C16" s="474" t="s">
        <v>73</v>
      </c>
      <c r="D16" s="475">
        <f>+(D12*D14)+D12</f>
        <v>21.6</v>
      </c>
      <c r="E16" s="184"/>
      <c r="F16" s="184"/>
      <c r="G16" s="223"/>
      <c r="H16" s="330" t="s">
        <v>73</v>
      </c>
      <c r="I16" s="331">
        <f>D16</f>
        <v>21.6</v>
      </c>
      <c r="J16" s="332">
        <f>(D18-8)/D18</f>
        <v>0.2</v>
      </c>
      <c r="K16" s="333" t="s">
        <v>180</v>
      </c>
      <c r="L16" s="220"/>
      <c r="M16" s="220"/>
      <c r="N16" s="220"/>
      <c r="O16" s="220"/>
      <c r="P16" s="220"/>
      <c r="Q16" s="220"/>
    </row>
    <row r="17" spans="3:17" ht="8.25" customHeight="1">
      <c r="C17" s="474"/>
      <c r="D17" s="184"/>
      <c r="E17" s="184"/>
      <c r="F17" s="184"/>
      <c r="G17" s="223"/>
      <c r="H17" s="329"/>
      <c r="I17" s="325"/>
      <c r="J17" s="325"/>
      <c r="K17" s="325"/>
      <c r="L17" s="220"/>
      <c r="M17" s="220"/>
      <c r="N17" s="220"/>
      <c r="O17" s="220"/>
      <c r="P17" s="220"/>
      <c r="Q17" s="220"/>
    </row>
    <row r="18" spans="3:17" ht="15">
      <c r="C18" s="443" t="s">
        <v>74</v>
      </c>
      <c r="D18" s="457">
        <v>10</v>
      </c>
      <c r="E18" s="129"/>
      <c r="F18" s="129"/>
      <c r="G18" s="223"/>
      <c r="H18" s="334" t="s">
        <v>175</v>
      </c>
      <c r="I18" s="335">
        <v>1</v>
      </c>
      <c r="J18" s="327"/>
      <c r="K18" s="327"/>
      <c r="L18" s="220"/>
      <c r="M18" s="220"/>
      <c r="N18" s="220"/>
      <c r="O18" s="220"/>
      <c r="P18" s="220"/>
      <c r="Q18" s="220"/>
    </row>
    <row r="19" spans="3:17" ht="9" customHeight="1">
      <c r="C19" s="474"/>
      <c r="D19" s="184"/>
      <c r="E19" s="184"/>
      <c r="F19" s="184"/>
      <c r="G19" s="223"/>
      <c r="H19" s="329"/>
      <c r="I19" s="325"/>
      <c r="J19" s="325"/>
      <c r="K19" s="325"/>
      <c r="L19" s="220"/>
      <c r="M19" s="220"/>
      <c r="N19" s="220"/>
      <c r="O19" s="220"/>
      <c r="P19" s="220"/>
      <c r="Q19" s="220"/>
    </row>
    <row r="20" spans="3:17" ht="15">
      <c r="C20" s="474" t="s">
        <v>75</v>
      </c>
      <c r="D20" s="476">
        <f>+F26/D18</f>
        <v>23.76</v>
      </c>
      <c r="E20" s="184"/>
      <c r="F20" s="184"/>
      <c r="G20" s="223"/>
      <c r="H20" s="334" t="s">
        <v>176</v>
      </c>
      <c r="I20" s="336">
        <f>I16*I9</f>
        <v>19.636363636363637</v>
      </c>
      <c r="J20" s="325"/>
      <c r="K20" s="325"/>
      <c r="L20" s="220"/>
      <c r="M20" s="220"/>
      <c r="N20" s="220"/>
      <c r="O20" s="220"/>
      <c r="P20" s="220"/>
      <c r="Q20" s="220"/>
    </row>
    <row r="21" spans="3:17" ht="9" customHeight="1">
      <c r="C21" s="128"/>
      <c r="D21" s="129"/>
      <c r="E21" s="129"/>
      <c r="F21" s="129"/>
      <c r="G21" s="224"/>
      <c r="H21" s="326"/>
      <c r="I21" s="327"/>
      <c r="J21" s="327"/>
      <c r="K21" s="327"/>
      <c r="L21" s="220"/>
      <c r="M21" s="220"/>
      <c r="N21" s="220"/>
      <c r="O21" s="220"/>
      <c r="P21" s="220"/>
      <c r="Q21" s="220"/>
    </row>
    <row r="22" spans="3:17" ht="15.75">
      <c r="C22" s="443" t="s">
        <v>76</v>
      </c>
      <c r="D22" s="477">
        <v>11</v>
      </c>
      <c r="E22" s="129"/>
      <c r="F22" s="129"/>
      <c r="G22" s="224"/>
      <c r="H22" s="334" t="s">
        <v>177</v>
      </c>
      <c r="I22" s="337">
        <v>250</v>
      </c>
      <c r="J22" s="338">
        <v>375</v>
      </c>
      <c r="K22" s="338">
        <v>500</v>
      </c>
      <c r="L22" s="339">
        <v>750</v>
      </c>
      <c r="M22" s="339">
        <v>1000</v>
      </c>
      <c r="N22" s="339">
        <v>1500</v>
      </c>
      <c r="O22" s="339">
        <v>2000</v>
      </c>
      <c r="P22" s="339">
        <v>3000</v>
      </c>
      <c r="Q22" s="339">
        <v>4000</v>
      </c>
    </row>
    <row r="23" spans="3:17" ht="7.5" customHeight="1">
      <c r="C23" s="128"/>
      <c r="D23" s="129"/>
      <c r="E23" s="129"/>
      <c r="F23" s="129"/>
      <c r="G23" s="224"/>
      <c r="H23" s="340"/>
      <c r="I23" s="341"/>
      <c r="J23" s="341"/>
      <c r="K23" s="341"/>
      <c r="L23" s="342"/>
      <c r="M23" s="342"/>
      <c r="N23" s="342"/>
      <c r="O23" s="342"/>
      <c r="P23" s="342"/>
      <c r="Q23" s="342"/>
    </row>
    <row r="24" spans="3:17" ht="15.75">
      <c r="C24" s="474" t="s">
        <v>77</v>
      </c>
      <c r="D24" s="478">
        <f>+F26/D22</f>
        <v>21.6</v>
      </c>
      <c r="E24" s="129"/>
      <c r="F24" s="129"/>
      <c r="G24" s="224"/>
      <c r="H24" s="343" t="s">
        <v>179</v>
      </c>
      <c r="I24" s="344">
        <f>$I20/I22</f>
        <v>0.07854545454545454</v>
      </c>
      <c r="J24" s="344">
        <f aca="true" t="shared" si="0" ref="J24:Q24">$I20/J22</f>
        <v>0.05236363636363636</v>
      </c>
      <c r="K24" s="344">
        <f t="shared" si="0"/>
        <v>0.03927272727272727</v>
      </c>
      <c r="L24" s="344">
        <f t="shared" si="0"/>
        <v>0.02618181818181818</v>
      </c>
      <c r="M24" s="344">
        <f t="shared" si="0"/>
        <v>0.019636363636363636</v>
      </c>
      <c r="N24" s="344">
        <f t="shared" si="0"/>
        <v>0.01309090909090909</v>
      </c>
      <c r="O24" s="345">
        <f t="shared" si="0"/>
        <v>0.009818181818181818</v>
      </c>
      <c r="P24" s="345">
        <f t="shared" si="0"/>
        <v>0.006545454545454545</v>
      </c>
      <c r="Q24" s="345">
        <f t="shared" si="0"/>
        <v>0.004909090909090909</v>
      </c>
    </row>
    <row r="25" spans="3:17" ht="9.75" customHeight="1">
      <c r="C25" s="479"/>
      <c r="D25" s="184"/>
      <c r="E25" s="129"/>
      <c r="F25" s="129"/>
      <c r="G25" s="224"/>
      <c r="H25" s="346"/>
      <c r="I25" s="341"/>
      <c r="J25" s="347"/>
      <c r="K25" s="347"/>
      <c r="L25" s="348"/>
      <c r="M25" s="348"/>
      <c r="N25" s="348"/>
      <c r="O25" s="348"/>
      <c r="P25" s="348"/>
      <c r="Q25" s="348"/>
    </row>
    <row r="26" spans="3:17" ht="15.75">
      <c r="C26" s="480" t="s">
        <v>78</v>
      </c>
      <c r="D26" s="130"/>
      <c r="E26" s="184"/>
      <c r="F26" s="481">
        <f>IF(D18&gt;8,((D18-8)*(1.5*D16))+8*D16,D18*D16)</f>
        <v>237.60000000000002</v>
      </c>
      <c r="G26" s="224"/>
      <c r="H26" s="349"/>
      <c r="I26" s="350"/>
      <c r="J26" s="341"/>
      <c r="K26" s="351"/>
      <c r="L26" s="348"/>
      <c r="M26" s="348"/>
      <c r="N26" s="348"/>
      <c r="O26" s="348"/>
      <c r="P26" s="348"/>
      <c r="Q26" s="348"/>
    </row>
    <row r="27" spans="3:11" ht="15.75" thickBot="1">
      <c r="C27" s="482"/>
      <c r="D27" s="483"/>
      <c r="E27" s="483"/>
      <c r="F27" s="483"/>
      <c r="G27" s="225"/>
      <c r="H27" s="42"/>
      <c r="I27" s="43"/>
      <c r="J27" s="43"/>
      <c r="K27" s="43"/>
    </row>
    <row r="28" ht="12.75">
      <c r="G28" s="220"/>
    </row>
  </sheetData>
  <sheetProtection/>
  <printOptions/>
  <pageMargins left="0.75" right="0.75" top="1" bottom="1" header="0.5" footer="0.5"/>
  <pageSetup fitToHeight="1" fitToWidth="1" horizontalDpi="600" verticalDpi="600" orientation="landscape" paperSize="3" r:id="rId3"/>
  <legacyDrawing r:id="rId2"/>
</worksheet>
</file>

<file path=xl/worksheets/sheet4.xml><?xml version="1.0" encoding="utf-8"?>
<worksheet xmlns="http://schemas.openxmlformats.org/spreadsheetml/2006/main" xmlns:r="http://schemas.openxmlformats.org/officeDocument/2006/relationships">
  <dimension ref="A1:P32"/>
  <sheetViews>
    <sheetView zoomScalePageLayoutView="0" workbookViewId="0" topLeftCell="A6">
      <selection activeCell="J30" sqref="J30"/>
    </sheetView>
  </sheetViews>
  <sheetFormatPr defaultColWidth="9.140625" defaultRowHeight="12.75"/>
  <cols>
    <col min="1" max="1" width="2.28125" style="0" customWidth="1"/>
    <col min="2" max="2" width="2.57421875" style="0" customWidth="1"/>
    <col min="3" max="3" width="7.57421875" style="0" customWidth="1"/>
    <col min="4" max="4" width="11.28125" style="0" customWidth="1"/>
    <col min="5" max="5" width="7.57421875" style="0" customWidth="1"/>
    <col min="6" max="6" width="8.140625" style="0" customWidth="1"/>
    <col min="7" max="7" width="15.421875" style="0" customWidth="1"/>
    <col min="8" max="8" width="10.7109375" style="0" customWidth="1"/>
    <col min="9" max="9" width="11.28125" style="0" customWidth="1"/>
    <col min="10" max="10" width="12.140625" style="0" customWidth="1"/>
  </cols>
  <sheetData>
    <row r="1" spans="1:16" ht="47.25">
      <c r="A1" s="71"/>
      <c r="B1" s="71"/>
      <c r="C1" s="72" t="s">
        <v>107</v>
      </c>
      <c r="D1" s="72" t="s">
        <v>108</v>
      </c>
      <c r="E1" s="73" t="s">
        <v>109</v>
      </c>
      <c r="F1" s="72" t="s">
        <v>110</v>
      </c>
      <c r="G1" s="72" t="s">
        <v>111</v>
      </c>
      <c r="H1" s="74" t="s">
        <v>112</v>
      </c>
      <c r="I1" s="75" t="s">
        <v>113</v>
      </c>
      <c r="J1" s="76" t="s">
        <v>114</v>
      </c>
      <c r="K1" s="71"/>
      <c r="L1" s="71"/>
      <c r="M1" s="71"/>
      <c r="N1" s="71"/>
      <c r="O1" s="71"/>
      <c r="P1" s="71"/>
    </row>
    <row r="2" spans="1:16" ht="12.75">
      <c r="A2" s="71"/>
      <c r="B2" s="71"/>
      <c r="C2" s="77" t="s">
        <v>115</v>
      </c>
      <c r="D2" s="78" t="s">
        <v>116</v>
      </c>
      <c r="E2" s="79">
        <v>98181</v>
      </c>
      <c r="F2" s="77">
        <v>1000</v>
      </c>
      <c r="G2" s="80" t="s">
        <v>117</v>
      </c>
      <c r="H2" s="81">
        <v>37417</v>
      </c>
      <c r="I2" s="82">
        <v>425</v>
      </c>
      <c r="J2" s="83">
        <f aca="true" t="shared" si="0" ref="J2:J25">+I2/F$2</f>
        <v>0.425</v>
      </c>
      <c r="K2" s="71"/>
      <c r="L2" s="71"/>
      <c r="M2" s="71"/>
      <c r="N2" s="71"/>
      <c r="O2" s="71"/>
      <c r="P2" s="71"/>
    </row>
    <row r="3" spans="1:16" ht="12.75">
      <c r="A3" s="71"/>
      <c r="B3" s="71"/>
      <c r="C3" s="84"/>
      <c r="D3" s="85"/>
      <c r="E3" s="86"/>
      <c r="F3" s="84"/>
      <c r="G3" s="87"/>
      <c r="H3" s="81">
        <v>37420</v>
      </c>
      <c r="I3" s="82">
        <v>609</v>
      </c>
      <c r="J3" s="83">
        <f t="shared" si="0"/>
        <v>0.609</v>
      </c>
      <c r="K3" s="71"/>
      <c r="L3" s="71"/>
      <c r="M3" s="71"/>
      <c r="N3" s="71"/>
      <c r="O3" s="71"/>
      <c r="P3" s="71"/>
    </row>
    <row r="4" spans="1:16" ht="12.75">
      <c r="A4" s="71"/>
      <c r="B4" s="71"/>
      <c r="C4" s="88"/>
      <c r="D4" s="85"/>
      <c r="E4" s="86"/>
      <c r="F4" s="84"/>
      <c r="G4" s="87"/>
      <c r="H4" s="81">
        <v>37425</v>
      </c>
      <c r="I4" s="82">
        <v>520</v>
      </c>
      <c r="J4" s="83">
        <f t="shared" si="0"/>
        <v>0.52</v>
      </c>
      <c r="K4" s="71"/>
      <c r="L4" s="71"/>
      <c r="M4" s="71"/>
      <c r="N4" s="71"/>
      <c r="O4" s="71"/>
      <c r="P4" s="71"/>
    </row>
    <row r="5" spans="1:16" ht="12.75">
      <c r="A5" s="71"/>
      <c r="B5" s="71"/>
      <c r="C5" s="88"/>
      <c r="D5" s="88"/>
      <c r="E5" s="88"/>
      <c r="F5" s="88"/>
      <c r="G5" s="87"/>
      <c r="H5" s="81">
        <v>37430</v>
      </c>
      <c r="I5" s="82">
        <v>387</v>
      </c>
      <c r="J5" s="83">
        <f t="shared" si="0"/>
        <v>0.387</v>
      </c>
      <c r="K5" s="71"/>
      <c r="L5" s="71"/>
      <c r="M5" s="71"/>
      <c r="N5" s="89"/>
      <c r="O5" s="71"/>
      <c r="P5" s="71"/>
    </row>
    <row r="6" spans="1:16" ht="12.75">
      <c r="A6" s="71"/>
      <c r="B6" s="71"/>
      <c r="C6" s="88"/>
      <c r="D6" s="88"/>
      <c r="E6" s="88"/>
      <c r="F6" s="88"/>
      <c r="G6" s="87"/>
      <c r="H6" s="81"/>
      <c r="I6" s="82"/>
      <c r="J6" s="83">
        <f t="shared" si="0"/>
        <v>0</v>
      </c>
      <c r="K6" s="71"/>
      <c r="L6" s="71"/>
      <c r="M6" s="71"/>
      <c r="N6" s="71"/>
      <c r="O6" s="71"/>
      <c r="P6" s="71"/>
    </row>
    <row r="7" spans="1:16" ht="12.75">
      <c r="A7" s="71"/>
      <c r="B7" s="71"/>
      <c r="C7" s="84"/>
      <c r="D7" s="85"/>
      <c r="E7" s="86"/>
      <c r="F7" s="84"/>
      <c r="G7" s="87"/>
      <c r="H7" s="81"/>
      <c r="I7" s="82"/>
      <c r="J7" s="83">
        <f t="shared" si="0"/>
        <v>0</v>
      </c>
      <c r="K7" s="71"/>
      <c r="L7" s="71"/>
      <c r="M7" s="71"/>
      <c r="N7" s="71"/>
      <c r="O7" s="71"/>
      <c r="P7" s="71"/>
    </row>
    <row r="8" spans="1:16" ht="12.75">
      <c r="A8" s="71"/>
      <c r="B8" s="71"/>
      <c r="C8" s="84"/>
      <c r="D8" s="85"/>
      <c r="E8" s="86"/>
      <c r="F8" s="84"/>
      <c r="G8" s="87"/>
      <c r="H8" s="81"/>
      <c r="I8" s="82"/>
      <c r="J8" s="83">
        <f t="shared" si="0"/>
        <v>0</v>
      </c>
      <c r="K8" s="71"/>
      <c r="L8" s="71"/>
      <c r="M8" s="71"/>
      <c r="N8" s="71"/>
      <c r="O8" s="71"/>
      <c r="P8" s="71"/>
    </row>
    <row r="9" spans="1:16" ht="12.75">
      <c r="A9" s="71"/>
      <c r="B9" s="71"/>
      <c r="C9" s="84"/>
      <c r="D9" s="85"/>
      <c r="E9" s="86"/>
      <c r="F9" s="84"/>
      <c r="G9" s="87"/>
      <c r="H9" s="81"/>
      <c r="I9" s="82"/>
      <c r="J9" s="83">
        <f t="shared" si="0"/>
        <v>0</v>
      </c>
      <c r="K9" s="71"/>
      <c r="L9" s="71"/>
      <c r="M9" s="71"/>
      <c r="N9" s="71"/>
      <c r="O9" s="71"/>
      <c r="P9" s="71"/>
    </row>
    <row r="10" spans="1:16" ht="12.75">
      <c r="A10" s="71"/>
      <c r="B10" s="71"/>
      <c r="C10" s="84"/>
      <c r="D10" s="85"/>
      <c r="E10" s="86"/>
      <c r="F10" s="84"/>
      <c r="G10" s="87"/>
      <c r="H10" s="81"/>
      <c r="I10" s="82"/>
      <c r="J10" s="83">
        <f t="shared" si="0"/>
        <v>0</v>
      </c>
      <c r="K10" s="71"/>
      <c r="L10" s="71"/>
      <c r="M10" s="71"/>
      <c r="N10" s="71"/>
      <c r="O10" s="71"/>
      <c r="P10" s="71"/>
    </row>
    <row r="11" spans="1:16" ht="12.75">
      <c r="A11" s="71"/>
      <c r="B11" s="71"/>
      <c r="C11" s="84"/>
      <c r="D11" s="85"/>
      <c r="E11" s="86"/>
      <c r="F11" s="84"/>
      <c r="G11" s="87"/>
      <c r="H11" s="81"/>
      <c r="I11" s="82"/>
      <c r="J11" s="83">
        <f t="shared" si="0"/>
        <v>0</v>
      </c>
      <c r="K11" s="71"/>
      <c r="L11" s="71"/>
      <c r="M11" s="71"/>
      <c r="N11" s="71"/>
      <c r="O11" s="71"/>
      <c r="P11" s="71"/>
    </row>
    <row r="12" spans="1:16" ht="12.75">
      <c r="A12" s="71"/>
      <c r="B12" s="71"/>
      <c r="C12" s="84"/>
      <c r="D12" s="85"/>
      <c r="E12" s="86"/>
      <c r="F12" s="84"/>
      <c r="G12" s="87"/>
      <c r="H12" s="81"/>
      <c r="I12" s="82"/>
      <c r="J12" s="83">
        <f t="shared" si="0"/>
        <v>0</v>
      </c>
      <c r="K12" s="71"/>
      <c r="L12" s="71"/>
      <c r="M12" s="71"/>
      <c r="N12" s="71"/>
      <c r="O12" s="71"/>
      <c r="P12" s="71"/>
    </row>
    <row r="13" spans="1:16" ht="12.75">
      <c r="A13" s="71"/>
      <c r="B13" s="71"/>
      <c r="C13" s="84"/>
      <c r="D13" s="85"/>
      <c r="E13" s="86"/>
      <c r="F13" s="84"/>
      <c r="G13" s="87"/>
      <c r="H13" s="81"/>
      <c r="I13" s="82"/>
      <c r="J13" s="83">
        <f t="shared" si="0"/>
        <v>0</v>
      </c>
      <c r="K13" s="71"/>
      <c r="L13" s="71"/>
      <c r="M13" s="71"/>
      <c r="N13" s="71"/>
      <c r="O13" s="71"/>
      <c r="P13" s="71"/>
    </row>
    <row r="14" spans="1:16" ht="12.75">
      <c r="A14" s="71"/>
      <c r="B14" s="71"/>
      <c r="C14" s="84"/>
      <c r="D14" s="85"/>
      <c r="E14" s="86"/>
      <c r="F14" s="84"/>
      <c r="G14" s="87"/>
      <c r="H14" s="81"/>
      <c r="I14" s="82"/>
      <c r="J14" s="83">
        <f t="shared" si="0"/>
        <v>0</v>
      </c>
      <c r="K14" s="71"/>
      <c r="L14" s="71"/>
      <c r="M14" s="71"/>
      <c r="N14" s="71"/>
      <c r="O14" s="71"/>
      <c r="P14" s="71"/>
    </row>
    <row r="15" spans="1:16" ht="12.75">
      <c r="A15" s="71"/>
      <c r="B15" s="71"/>
      <c r="C15" s="84"/>
      <c r="D15" s="85"/>
      <c r="E15" s="86"/>
      <c r="F15" s="84"/>
      <c r="G15" s="87"/>
      <c r="H15" s="81"/>
      <c r="I15" s="82"/>
      <c r="J15" s="83">
        <f t="shared" si="0"/>
        <v>0</v>
      </c>
      <c r="K15" s="71"/>
      <c r="L15" s="71"/>
      <c r="M15" s="71"/>
      <c r="N15" s="71"/>
      <c r="O15" s="71"/>
      <c r="P15" s="71"/>
    </row>
    <row r="16" spans="1:16" ht="12.75">
      <c r="A16" s="71"/>
      <c r="B16" s="71"/>
      <c r="C16" s="84"/>
      <c r="D16" s="85"/>
      <c r="E16" s="86"/>
      <c r="F16" s="84"/>
      <c r="G16" s="87"/>
      <c r="H16" s="81"/>
      <c r="I16" s="82"/>
      <c r="J16" s="83">
        <f t="shared" si="0"/>
        <v>0</v>
      </c>
      <c r="K16" s="71"/>
      <c r="L16" s="71"/>
      <c r="M16" s="71"/>
      <c r="N16" s="71"/>
      <c r="O16" s="71"/>
      <c r="P16" s="71"/>
    </row>
    <row r="17" spans="1:16" ht="12.75">
      <c r="A17" s="71"/>
      <c r="B17" s="71"/>
      <c r="C17" s="84"/>
      <c r="D17" s="85"/>
      <c r="E17" s="86"/>
      <c r="F17" s="84"/>
      <c r="G17" s="87"/>
      <c r="H17" s="81"/>
      <c r="I17" s="82"/>
      <c r="J17" s="83">
        <f t="shared" si="0"/>
        <v>0</v>
      </c>
      <c r="K17" s="71"/>
      <c r="L17" s="71"/>
      <c r="M17" s="71"/>
      <c r="N17" s="71"/>
      <c r="O17" s="71"/>
      <c r="P17" s="71"/>
    </row>
    <row r="18" spans="1:16" ht="12.75">
      <c r="A18" s="71"/>
      <c r="B18" s="71"/>
      <c r="C18" s="84"/>
      <c r="D18" s="85"/>
      <c r="E18" s="86"/>
      <c r="F18" s="84"/>
      <c r="G18" s="87"/>
      <c r="H18" s="81"/>
      <c r="I18" s="82"/>
      <c r="J18" s="83">
        <f t="shared" si="0"/>
        <v>0</v>
      </c>
      <c r="K18" s="71"/>
      <c r="L18" s="71"/>
      <c r="M18" s="71"/>
      <c r="N18" s="71"/>
      <c r="O18" s="71"/>
      <c r="P18" s="71"/>
    </row>
    <row r="19" spans="1:16" ht="12.75">
      <c r="A19" s="71"/>
      <c r="B19" s="71"/>
      <c r="C19" s="84"/>
      <c r="D19" s="85"/>
      <c r="E19" s="86"/>
      <c r="F19" s="84"/>
      <c r="G19" s="87"/>
      <c r="H19" s="81"/>
      <c r="I19" s="82"/>
      <c r="J19" s="83">
        <f t="shared" si="0"/>
        <v>0</v>
      </c>
      <c r="K19" s="71"/>
      <c r="L19" s="71"/>
      <c r="M19" s="71"/>
      <c r="N19" s="71"/>
      <c r="O19" s="71"/>
      <c r="P19" s="71"/>
    </row>
    <row r="20" spans="1:16" ht="12.75">
      <c r="A20" s="71"/>
      <c r="B20" s="71"/>
      <c r="C20" s="84"/>
      <c r="D20" s="85"/>
      <c r="E20" s="86"/>
      <c r="F20" s="84"/>
      <c r="G20" s="87"/>
      <c r="H20" s="81"/>
      <c r="I20" s="82"/>
      <c r="J20" s="83">
        <f t="shared" si="0"/>
        <v>0</v>
      </c>
      <c r="K20" s="71"/>
      <c r="L20" s="71"/>
      <c r="M20" s="71"/>
      <c r="N20" s="71"/>
      <c r="O20" s="71"/>
      <c r="P20" s="71"/>
    </row>
    <row r="21" spans="1:16" ht="12.75">
      <c r="A21" s="71"/>
      <c r="B21" s="71"/>
      <c r="C21" s="84"/>
      <c r="D21" s="85"/>
      <c r="E21" s="86"/>
      <c r="F21" s="84"/>
      <c r="G21" s="87"/>
      <c r="H21" s="81"/>
      <c r="I21" s="82"/>
      <c r="J21" s="83">
        <f t="shared" si="0"/>
        <v>0</v>
      </c>
      <c r="K21" s="71"/>
      <c r="L21" s="71"/>
      <c r="M21" s="71"/>
      <c r="N21" s="71"/>
      <c r="O21" s="71"/>
      <c r="P21" s="71"/>
    </row>
    <row r="22" spans="1:16" ht="12.75">
      <c r="A22" s="71"/>
      <c r="B22" s="71"/>
      <c r="C22" s="84"/>
      <c r="D22" s="85"/>
      <c r="E22" s="86"/>
      <c r="F22" s="84"/>
      <c r="G22" s="87"/>
      <c r="H22" s="81"/>
      <c r="I22" s="82"/>
      <c r="J22" s="83">
        <f t="shared" si="0"/>
        <v>0</v>
      </c>
      <c r="K22" s="71"/>
      <c r="L22" s="71"/>
      <c r="M22" s="71"/>
      <c r="N22" s="71"/>
      <c r="O22" s="71"/>
      <c r="P22" s="71"/>
    </row>
    <row r="23" spans="1:16" ht="12.75">
      <c r="A23" s="71"/>
      <c r="B23" s="71"/>
      <c r="C23" s="84"/>
      <c r="D23" s="85"/>
      <c r="E23" s="86"/>
      <c r="F23" s="84"/>
      <c r="G23" s="87"/>
      <c r="H23" s="81"/>
      <c r="I23" s="82"/>
      <c r="J23" s="83">
        <f t="shared" si="0"/>
        <v>0</v>
      </c>
      <c r="K23" s="71"/>
      <c r="L23" s="71"/>
      <c r="M23" s="71"/>
      <c r="N23" s="71"/>
      <c r="O23" s="71"/>
      <c r="P23" s="71"/>
    </row>
    <row r="24" spans="1:16" ht="15.75">
      <c r="A24" s="71"/>
      <c r="B24" s="71"/>
      <c r="C24" s="90" t="s">
        <v>118</v>
      </c>
      <c r="D24" s="91"/>
      <c r="E24" s="92"/>
      <c r="F24" s="90"/>
      <c r="G24" s="87"/>
      <c r="H24" s="81"/>
      <c r="I24" s="82"/>
      <c r="J24" s="83">
        <f t="shared" si="0"/>
        <v>0</v>
      </c>
      <c r="K24" s="71"/>
      <c r="L24" s="71"/>
      <c r="M24" s="71"/>
      <c r="N24" s="71"/>
      <c r="O24" s="71"/>
      <c r="P24" s="71"/>
    </row>
    <row r="25" spans="1:16" ht="16.5" thickBot="1">
      <c r="A25" s="71"/>
      <c r="B25" s="71"/>
      <c r="C25" s="93"/>
      <c r="D25" s="94"/>
      <c r="E25" s="95"/>
      <c r="F25" s="93"/>
      <c r="G25" s="87"/>
      <c r="H25" s="81"/>
      <c r="I25" s="82"/>
      <c r="J25" s="83">
        <f t="shared" si="0"/>
        <v>0</v>
      </c>
      <c r="K25" s="71"/>
      <c r="L25" s="71"/>
      <c r="M25" s="71"/>
      <c r="N25" s="71"/>
      <c r="O25" s="71"/>
      <c r="P25" s="71"/>
    </row>
    <row r="26" spans="1:16" ht="16.5" thickTop="1">
      <c r="A26" s="71"/>
      <c r="B26" s="71"/>
      <c r="C26" s="96" t="s">
        <v>119</v>
      </c>
      <c r="D26" s="97"/>
      <c r="E26" s="98"/>
      <c r="F26" s="99"/>
      <c r="G26" s="100"/>
      <c r="H26" s="100"/>
      <c r="I26" s="101"/>
      <c r="J26" s="102"/>
      <c r="K26" s="71"/>
      <c r="L26" s="71"/>
      <c r="M26" s="71"/>
      <c r="N26" s="71"/>
      <c r="O26" s="71"/>
      <c r="P26" s="71"/>
    </row>
    <row r="27" spans="1:16" ht="15.75">
      <c r="A27" s="71"/>
      <c r="B27" s="71"/>
      <c r="C27" s="99"/>
      <c r="D27" s="97"/>
      <c r="E27" s="98"/>
      <c r="F27" s="96" t="s">
        <v>120</v>
      </c>
      <c r="G27" s="100"/>
      <c r="H27" s="100"/>
      <c r="I27" s="101"/>
      <c r="J27" s="102"/>
      <c r="K27" s="71"/>
      <c r="L27" s="71"/>
      <c r="M27" s="71"/>
      <c r="N27" s="71"/>
      <c r="O27" s="71"/>
      <c r="P27" s="71"/>
    </row>
    <row r="28" spans="1:16" ht="12.75">
      <c r="A28" s="71"/>
      <c r="B28" s="71"/>
      <c r="C28" s="99"/>
      <c r="D28" s="97"/>
      <c r="E28" s="71"/>
      <c r="F28" s="103"/>
      <c r="G28" s="104"/>
      <c r="H28" s="105" t="s">
        <v>121</v>
      </c>
      <c r="I28" s="106">
        <f>SUBTOTAL(3,H2:H26)</f>
        <v>4</v>
      </c>
      <c r="J28" s="107"/>
      <c r="K28" s="104"/>
      <c r="L28" s="104"/>
      <c r="M28" s="108"/>
      <c r="N28" s="71"/>
      <c r="O28" s="71"/>
      <c r="P28" s="71"/>
    </row>
    <row r="29" spans="1:16" ht="12.75">
      <c r="A29" s="71"/>
      <c r="B29" s="71"/>
      <c r="C29" s="99"/>
      <c r="D29" s="97"/>
      <c r="E29" s="109"/>
      <c r="F29" s="110"/>
      <c r="G29" s="89"/>
      <c r="H29" s="111" t="s">
        <v>122</v>
      </c>
      <c r="I29" s="112">
        <f>SUBTOTAL(9,I2:I26)</f>
        <v>1941</v>
      </c>
      <c r="J29" s="113"/>
      <c r="K29" s="89"/>
      <c r="L29" s="89"/>
      <c r="M29" s="114"/>
      <c r="N29" s="71"/>
      <c r="O29" s="71"/>
      <c r="P29" s="71"/>
    </row>
    <row r="30" spans="1:16" ht="12.75">
      <c r="A30" s="71"/>
      <c r="B30" s="71"/>
      <c r="C30" s="99"/>
      <c r="D30" s="97"/>
      <c r="E30" s="109"/>
      <c r="F30" s="110"/>
      <c r="G30" s="115"/>
      <c r="H30" s="111" t="s">
        <v>123</v>
      </c>
      <c r="I30" s="116">
        <f>SUBTOTAL(1,I2:I26)</f>
        <v>485.25</v>
      </c>
      <c r="J30" s="117">
        <f>+I30/F2</f>
        <v>0.48525</v>
      </c>
      <c r="K30" s="118" t="s">
        <v>124</v>
      </c>
      <c r="L30" s="119"/>
      <c r="M30" s="120"/>
      <c r="N30" s="71"/>
      <c r="O30" s="71"/>
      <c r="P30" s="71"/>
    </row>
    <row r="31" spans="1:16" ht="13.5" thickBot="1">
      <c r="A31" s="71"/>
      <c r="B31" s="71"/>
      <c r="C31" s="71"/>
      <c r="D31" s="71"/>
      <c r="E31" s="71"/>
      <c r="F31" s="121"/>
      <c r="G31" s="122"/>
      <c r="H31" s="122"/>
      <c r="I31" s="122"/>
      <c r="J31" s="122"/>
      <c r="K31" s="122"/>
      <c r="L31" s="122"/>
      <c r="M31" s="123"/>
      <c r="N31" s="71"/>
      <c r="O31" s="71"/>
      <c r="P31" s="71"/>
    </row>
    <row r="32" spans="1:16" ht="13.5" thickTop="1">
      <c r="A32" s="71"/>
      <c r="B32" s="71"/>
      <c r="C32" s="71"/>
      <c r="D32" s="71"/>
      <c r="E32" s="71"/>
      <c r="F32" s="71"/>
      <c r="G32" s="71"/>
      <c r="H32" s="71"/>
      <c r="I32" s="71"/>
      <c r="J32" s="71"/>
      <c r="K32" s="71"/>
      <c r="L32" s="71"/>
      <c r="M32" s="71"/>
      <c r="N32" s="71"/>
      <c r="O32" s="71"/>
      <c r="P32" s="71"/>
    </row>
  </sheetData>
  <sheetProtection/>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pageSetUpPr fitToPage="1"/>
  </sheetPr>
  <dimension ref="C5:L32"/>
  <sheetViews>
    <sheetView zoomScalePageLayoutView="0" workbookViewId="0" topLeftCell="C7">
      <selection activeCell="L27" sqref="L27"/>
    </sheetView>
  </sheetViews>
  <sheetFormatPr defaultColWidth="9.140625" defaultRowHeight="12.75"/>
  <cols>
    <col min="3" max="3" width="28.421875" style="0" customWidth="1"/>
    <col min="4" max="4" width="14.421875" style="0" customWidth="1"/>
    <col min="5" max="5" width="11.140625" style="0" customWidth="1"/>
    <col min="6" max="6" width="11.00390625" style="0" customWidth="1"/>
    <col min="7" max="7" width="10.57421875" style="0" customWidth="1"/>
    <col min="8" max="8" width="32.8515625" style="0" customWidth="1"/>
    <col min="9" max="9" width="10.140625" style="0" customWidth="1"/>
    <col min="10" max="10" width="11.28125" style="0" customWidth="1"/>
    <col min="11" max="11" width="10.7109375" style="0" customWidth="1"/>
    <col min="12" max="12" width="10.28125" style="0" customWidth="1"/>
  </cols>
  <sheetData>
    <row r="5" ht="12.75">
      <c r="G5" s="44"/>
    </row>
    <row r="9" spans="3:12" ht="24" thickBot="1">
      <c r="C9" s="436" t="s">
        <v>171</v>
      </c>
      <c r="D9" s="437"/>
      <c r="E9" s="437"/>
      <c r="F9" s="437"/>
      <c r="G9" s="437"/>
      <c r="H9" s="468" t="s">
        <v>172</v>
      </c>
      <c r="I9" s="417"/>
      <c r="J9" s="417"/>
      <c r="K9" s="417"/>
      <c r="L9" s="417"/>
    </row>
    <row r="10" spans="3:12" ht="18">
      <c r="C10" s="438" t="s">
        <v>79</v>
      </c>
      <c r="D10" s="439"/>
      <c r="E10" s="439"/>
      <c r="F10" s="439"/>
      <c r="G10" s="440"/>
      <c r="H10" s="32" t="s">
        <v>170</v>
      </c>
      <c r="I10" s="400"/>
      <c r="J10" s="400"/>
      <c r="K10" s="400"/>
      <c r="L10" s="401"/>
    </row>
    <row r="11" spans="3:12" ht="15.75">
      <c r="C11" s="441" t="s">
        <v>80</v>
      </c>
      <c r="D11" s="442" t="s">
        <v>81</v>
      </c>
      <c r="E11" s="442" t="s">
        <v>82</v>
      </c>
      <c r="F11" s="442" t="s">
        <v>83</v>
      </c>
      <c r="G11" s="149"/>
      <c r="H11" s="418" t="s">
        <v>80</v>
      </c>
      <c r="I11" s="419" t="s">
        <v>81</v>
      </c>
      <c r="J11" s="419" t="s">
        <v>82</v>
      </c>
      <c r="K11" s="419" t="s">
        <v>83</v>
      </c>
      <c r="L11" s="407"/>
    </row>
    <row r="12" spans="3:12" ht="15">
      <c r="C12" s="443" t="s">
        <v>84</v>
      </c>
      <c r="D12" s="444">
        <v>0</v>
      </c>
      <c r="E12" s="445">
        <f>+D12/12</f>
        <v>0</v>
      </c>
      <c r="F12" s="446">
        <f aca="true" t="shared" si="0" ref="F12:F17">+E12/+(52*5/12)</f>
        <v>0</v>
      </c>
      <c r="G12" s="149"/>
      <c r="H12" s="420" t="s">
        <v>84</v>
      </c>
      <c r="I12" s="421">
        <v>0</v>
      </c>
      <c r="J12" s="422">
        <f>+I12/12</f>
        <v>0</v>
      </c>
      <c r="K12" s="423">
        <f aca="true" t="shared" si="1" ref="K12:K17">+J12/+(52*5/12)</f>
        <v>0</v>
      </c>
      <c r="L12" s="407"/>
    </row>
    <row r="13" spans="3:12" ht="15">
      <c r="C13" s="443" t="s">
        <v>85</v>
      </c>
      <c r="D13" s="444">
        <v>1200</v>
      </c>
      <c r="E13" s="445">
        <f aca="true" t="shared" si="2" ref="E13:E23">+D13/12</f>
        <v>100</v>
      </c>
      <c r="F13" s="446">
        <f t="shared" si="0"/>
        <v>4.615384615384615</v>
      </c>
      <c r="G13" s="149"/>
      <c r="H13" s="420" t="s">
        <v>85</v>
      </c>
      <c r="I13" s="421">
        <v>0</v>
      </c>
      <c r="J13" s="422">
        <f aca="true" t="shared" si="3" ref="J13:J23">+I13/12</f>
        <v>0</v>
      </c>
      <c r="K13" s="423">
        <f t="shared" si="1"/>
        <v>0</v>
      </c>
      <c r="L13" s="407"/>
    </row>
    <row r="14" spans="3:12" ht="15">
      <c r="C14" s="443" t="s">
        <v>86</v>
      </c>
      <c r="D14" s="444">
        <v>3900</v>
      </c>
      <c r="E14" s="445">
        <f t="shared" si="2"/>
        <v>325</v>
      </c>
      <c r="F14" s="446">
        <f t="shared" si="0"/>
        <v>15</v>
      </c>
      <c r="G14" s="149"/>
      <c r="H14" s="420" t="s">
        <v>86</v>
      </c>
      <c r="I14" s="421">
        <v>0</v>
      </c>
      <c r="J14" s="422">
        <f t="shared" si="3"/>
        <v>0</v>
      </c>
      <c r="K14" s="423">
        <f t="shared" si="1"/>
        <v>0</v>
      </c>
      <c r="L14" s="407"/>
    </row>
    <row r="15" spans="3:12" ht="15">
      <c r="C15" s="443" t="s">
        <v>87</v>
      </c>
      <c r="D15" s="444">
        <v>14400</v>
      </c>
      <c r="E15" s="445">
        <f t="shared" si="2"/>
        <v>1200</v>
      </c>
      <c r="F15" s="446">
        <f t="shared" si="0"/>
        <v>55.38461538461538</v>
      </c>
      <c r="G15" s="149"/>
      <c r="H15" s="420" t="s">
        <v>87</v>
      </c>
      <c r="I15" s="421">
        <v>0</v>
      </c>
      <c r="J15" s="422">
        <f t="shared" si="3"/>
        <v>0</v>
      </c>
      <c r="K15" s="423">
        <f t="shared" si="1"/>
        <v>0</v>
      </c>
      <c r="L15" s="407"/>
    </row>
    <row r="16" spans="3:12" ht="15">
      <c r="C16" s="443" t="s">
        <v>88</v>
      </c>
      <c r="D16" s="444">
        <v>3500</v>
      </c>
      <c r="E16" s="445">
        <f t="shared" si="2"/>
        <v>291.6666666666667</v>
      </c>
      <c r="F16" s="446">
        <f t="shared" si="0"/>
        <v>13.461538461538462</v>
      </c>
      <c r="G16" s="149"/>
      <c r="H16" s="420" t="s">
        <v>88</v>
      </c>
      <c r="I16" s="421">
        <v>0</v>
      </c>
      <c r="J16" s="422">
        <f t="shared" si="3"/>
        <v>0</v>
      </c>
      <c r="K16" s="423">
        <f t="shared" si="1"/>
        <v>0</v>
      </c>
      <c r="L16" s="407"/>
    </row>
    <row r="17" spans="3:12" ht="15">
      <c r="C17" s="443" t="s">
        <v>89</v>
      </c>
      <c r="D17" s="444">
        <f>337+804+238</f>
        <v>1379</v>
      </c>
      <c r="E17" s="445">
        <f t="shared" si="2"/>
        <v>114.91666666666667</v>
      </c>
      <c r="F17" s="446">
        <f t="shared" si="0"/>
        <v>5.303846153846154</v>
      </c>
      <c r="G17" s="149"/>
      <c r="H17" s="420" t="s">
        <v>89</v>
      </c>
      <c r="I17" s="421">
        <v>0</v>
      </c>
      <c r="J17" s="422">
        <f t="shared" si="3"/>
        <v>0</v>
      </c>
      <c r="K17" s="423">
        <f t="shared" si="1"/>
        <v>0</v>
      </c>
      <c r="L17" s="407"/>
    </row>
    <row r="18" spans="3:12" ht="7.5" customHeight="1">
      <c r="C18" s="443"/>
      <c r="D18" s="444"/>
      <c r="E18" s="445"/>
      <c r="F18" s="446"/>
      <c r="G18" s="149"/>
      <c r="H18" s="420"/>
      <c r="I18" s="421"/>
      <c r="J18" s="422"/>
      <c r="K18" s="423"/>
      <c r="L18" s="407"/>
    </row>
    <row r="19" spans="3:12" ht="15">
      <c r="C19" s="198" t="s">
        <v>90</v>
      </c>
      <c r="D19" s="447">
        <f>SUM(D12:D17)</f>
        <v>24379</v>
      </c>
      <c r="E19" s="448">
        <f>+D19/12</f>
        <v>2031.5833333333333</v>
      </c>
      <c r="F19" s="449">
        <f>+E19/+(52*5/12)</f>
        <v>93.7653846153846</v>
      </c>
      <c r="G19" s="471">
        <f>F19/F30</f>
        <v>0.3654186793862853</v>
      </c>
      <c r="H19" s="424" t="s">
        <v>90</v>
      </c>
      <c r="I19" s="425">
        <f>SUM(I12:I17)</f>
        <v>0</v>
      </c>
      <c r="J19" s="426">
        <f>+I19/12</f>
        <v>0</v>
      </c>
      <c r="K19" s="427">
        <f>+J19/+(52*5/12)</f>
        <v>0</v>
      </c>
      <c r="L19" s="407"/>
    </row>
    <row r="20" spans="3:12" ht="8.25" customHeight="1">
      <c r="C20" s="198"/>
      <c r="D20" s="447"/>
      <c r="E20" s="448"/>
      <c r="F20" s="450"/>
      <c r="G20" s="149"/>
      <c r="H20" s="424"/>
      <c r="I20" s="425"/>
      <c r="J20" s="426"/>
      <c r="K20" s="428"/>
      <c r="L20" s="407"/>
    </row>
    <row r="21" spans="3:12" ht="15.75">
      <c r="C21" s="451" t="s">
        <v>91</v>
      </c>
      <c r="D21" s="452">
        <v>1</v>
      </c>
      <c r="E21" s="445"/>
      <c r="F21" s="453"/>
      <c r="G21" s="149"/>
      <c r="H21" s="429" t="s">
        <v>91</v>
      </c>
      <c r="I21" s="430">
        <v>1</v>
      </c>
      <c r="J21" s="422"/>
      <c r="K21" s="431"/>
      <c r="L21" s="407"/>
    </row>
    <row r="22" spans="3:12" ht="6.75" customHeight="1">
      <c r="C22" s="451"/>
      <c r="D22" s="452"/>
      <c r="E22" s="445"/>
      <c r="F22" s="453"/>
      <c r="G22" s="149"/>
      <c r="H22" s="429"/>
      <c r="I22" s="430"/>
      <c r="J22" s="422"/>
      <c r="K22" s="431"/>
      <c r="L22" s="407"/>
    </row>
    <row r="23" spans="3:12" ht="15.75">
      <c r="C23" s="454" t="s">
        <v>92</v>
      </c>
      <c r="D23" s="447">
        <f>+D19/D21</f>
        <v>24379</v>
      </c>
      <c r="E23" s="448">
        <f t="shared" si="2"/>
        <v>2031.5833333333333</v>
      </c>
      <c r="F23" s="449">
        <f>+E23/+(52*5/12)</f>
        <v>93.7653846153846</v>
      </c>
      <c r="G23" s="149"/>
      <c r="H23" s="40" t="s">
        <v>92</v>
      </c>
      <c r="I23" s="403">
        <f>+I19/I21</f>
        <v>0</v>
      </c>
      <c r="J23" s="404">
        <f t="shared" si="3"/>
        <v>0</v>
      </c>
      <c r="K23" s="405">
        <f>+J23/+(52*5/12)</f>
        <v>0</v>
      </c>
      <c r="L23" s="402"/>
    </row>
    <row r="24" spans="3:12" ht="9" customHeight="1">
      <c r="C24" s="179"/>
      <c r="D24" s="130"/>
      <c r="E24" s="130"/>
      <c r="F24" s="130"/>
      <c r="G24" s="149"/>
      <c r="H24" s="406"/>
      <c r="I24" s="41"/>
      <c r="J24" s="41"/>
      <c r="K24" s="41"/>
      <c r="L24" s="407"/>
    </row>
    <row r="25" spans="3:12" ht="15.75">
      <c r="C25" s="441" t="s">
        <v>93</v>
      </c>
      <c r="D25" s="455" t="s">
        <v>94</v>
      </c>
      <c r="E25" s="455" t="s">
        <v>329</v>
      </c>
      <c r="F25" s="442" t="s">
        <v>83</v>
      </c>
      <c r="G25" s="456" t="s">
        <v>328</v>
      </c>
      <c r="H25" s="418" t="s">
        <v>93</v>
      </c>
      <c r="I25" s="432" t="s">
        <v>94</v>
      </c>
      <c r="J25" s="432" t="s">
        <v>173</v>
      </c>
      <c r="K25" s="419" t="s">
        <v>83</v>
      </c>
      <c r="L25" s="434" t="s">
        <v>328</v>
      </c>
    </row>
    <row r="26" spans="3:12" ht="15.75">
      <c r="C26" s="443" t="s">
        <v>95</v>
      </c>
      <c r="D26" s="457">
        <v>6.3</v>
      </c>
      <c r="E26" s="457">
        <v>200</v>
      </c>
      <c r="F26" s="458">
        <f>(+E26/D26)*G26</f>
        <v>146.03174603174602</v>
      </c>
      <c r="G26" s="459">
        <v>4.6</v>
      </c>
      <c r="H26" s="420" t="s">
        <v>95</v>
      </c>
      <c r="I26" s="433">
        <f>D26</f>
        <v>6.3</v>
      </c>
      <c r="J26" s="408">
        <v>168</v>
      </c>
      <c r="K26" s="409">
        <f>(+J26/I26)*L26</f>
        <v>122.66666666666666</v>
      </c>
      <c r="L26" s="435">
        <f>G26</f>
        <v>4.6</v>
      </c>
    </row>
    <row r="27" spans="3:12" ht="15.75">
      <c r="C27" s="443" t="s">
        <v>96</v>
      </c>
      <c r="D27" s="469">
        <v>0.084</v>
      </c>
      <c r="E27" s="184"/>
      <c r="F27" s="470">
        <f>+E26*D27</f>
        <v>16.8</v>
      </c>
      <c r="G27" s="149"/>
      <c r="H27" s="420" t="s">
        <v>96</v>
      </c>
      <c r="I27" s="410">
        <v>0.084</v>
      </c>
      <c r="J27" s="411"/>
      <c r="K27" s="409">
        <f>+J26*I27</f>
        <v>14.112</v>
      </c>
      <c r="L27" s="412"/>
    </row>
    <row r="28" spans="3:12" ht="15.75">
      <c r="C28" s="454" t="s">
        <v>97</v>
      </c>
      <c r="D28" s="461"/>
      <c r="E28" s="461"/>
      <c r="F28" s="462">
        <f>SUM(F26:F27)</f>
        <v>162.83174603174604</v>
      </c>
      <c r="G28" s="471">
        <f>F28/F30</f>
        <v>0.6345813206137146</v>
      </c>
      <c r="H28" s="40" t="s">
        <v>97</v>
      </c>
      <c r="I28" s="413"/>
      <c r="J28" s="413"/>
      <c r="K28" s="414">
        <f>SUM(K26:K27)</f>
        <v>136.77866666666665</v>
      </c>
      <c r="L28" s="412"/>
    </row>
    <row r="29" spans="3:12" ht="9" customHeight="1">
      <c r="C29" s="179"/>
      <c r="D29" s="184"/>
      <c r="E29" s="184"/>
      <c r="F29" s="463"/>
      <c r="G29" s="149"/>
      <c r="H29" s="415"/>
      <c r="I29" s="411"/>
      <c r="J29" s="411"/>
      <c r="K29" s="416"/>
      <c r="L29" s="412"/>
    </row>
    <row r="30" spans="3:12" ht="16.5" thickBot="1">
      <c r="C30" s="464" t="s">
        <v>98</v>
      </c>
      <c r="D30" s="465"/>
      <c r="E30" s="465"/>
      <c r="F30" s="466">
        <f>+F28+F23</f>
        <v>256.59713064713065</v>
      </c>
      <c r="G30" s="467"/>
      <c r="H30" s="45" t="s">
        <v>98</v>
      </c>
      <c r="I30" s="46"/>
      <c r="J30" s="46"/>
      <c r="K30" s="47">
        <f>+K28+K23</f>
        <v>136.77866666666665</v>
      </c>
      <c r="L30" s="472">
        <f>K30/F30</f>
        <v>0.5330483093155202</v>
      </c>
    </row>
    <row r="31" ht="12.75">
      <c r="E31" s="484">
        <f>F26/E26</f>
        <v>0.7301587301587301</v>
      </c>
    </row>
    <row r="32" ht="12.75">
      <c r="E32" s="484">
        <f>F28/E26</f>
        <v>0.8141587301587302</v>
      </c>
    </row>
  </sheetData>
  <sheetProtection/>
  <printOptions/>
  <pageMargins left="0.75" right="0.75" top="1" bottom="1" header="0.5" footer="0.5"/>
  <pageSetup fitToHeight="1" fitToWidth="1" horizontalDpi="600" verticalDpi="600" orientation="landscape" paperSize="3"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C10:G21"/>
  <sheetViews>
    <sheetView zoomScalePageLayoutView="0" workbookViewId="0" topLeftCell="A1">
      <selection activeCell="E27" sqref="E27"/>
    </sheetView>
  </sheetViews>
  <sheetFormatPr defaultColWidth="9.140625" defaultRowHeight="12.75"/>
  <cols>
    <col min="3" max="3" width="34.28125" style="0" customWidth="1"/>
    <col min="4" max="4" width="14.57421875" style="0" customWidth="1"/>
    <col min="5" max="5" width="13.28125" style="0" customWidth="1"/>
    <col min="6" max="6" width="14.00390625" style="0" customWidth="1"/>
    <col min="7" max="7" width="20.00390625" style="0" customWidth="1"/>
  </cols>
  <sheetData>
    <row r="9" ht="13.5" thickBot="1"/>
    <row r="10" spans="3:7" ht="18">
      <c r="C10" s="32" t="s">
        <v>99</v>
      </c>
      <c r="D10" s="48" t="s">
        <v>81</v>
      </c>
      <c r="E10" s="48" t="s">
        <v>82</v>
      </c>
      <c r="F10" s="49" t="s">
        <v>100</v>
      </c>
      <c r="G10" s="50" t="s">
        <v>101</v>
      </c>
    </row>
    <row r="11" spans="3:7" ht="12.75">
      <c r="C11" s="36"/>
      <c r="D11" s="31"/>
      <c r="E11" s="31"/>
      <c r="F11" s="31"/>
      <c r="G11" s="39"/>
    </row>
    <row r="12" spans="3:7" ht="15">
      <c r="C12" s="37" t="s">
        <v>102</v>
      </c>
      <c r="D12" s="51">
        <f>+E12*12</f>
        <v>61776.000000000015</v>
      </c>
      <c r="E12" s="52">
        <f>+G12*F12</f>
        <v>5148.000000000001</v>
      </c>
      <c r="F12" s="53">
        <f>'Driver Cost'!F26</f>
        <v>237.60000000000002</v>
      </c>
      <c r="G12" s="54">
        <f>+(52*5)/12</f>
        <v>21.666666666666668</v>
      </c>
    </row>
    <row r="13" spans="3:7" ht="15">
      <c r="C13" s="37" t="s">
        <v>103</v>
      </c>
      <c r="D13" s="51">
        <f>+E13*12</f>
        <v>66715.25396825396</v>
      </c>
      <c r="E13" s="52">
        <f>+G13*F13</f>
        <v>5559.604497354498</v>
      </c>
      <c r="F13" s="53">
        <f>'Truck Cost'!F30</f>
        <v>256.59713064713065</v>
      </c>
      <c r="G13" s="54">
        <f>+(52*5)/12</f>
        <v>21.666666666666668</v>
      </c>
    </row>
    <row r="14" spans="3:7" ht="17.25">
      <c r="C14" s="55" t="s">
        <v>104</v>
      </c>
      <c r="D14" s="56">
        <f>+D12+D13</f>
        <v>128491.25396825398</v>
      </c>
      <c r="E14" s="56">
        <f>+E12+E13</f>
        <v>10707.6044973545</v>
      </c>
      <c r="F14" s="56">
        <f>+F12+F13</f>
        <v>494.1971306471307</v>
      </c>
      <c r="G14" s="57"/>
    </row>
    <row r="15" spans="3:7" ht="12.75">
      <c r="C15" s="33"/>
      <c r="D15" s="34"/>
      <c r="E15" s="34"/>
      <c r="F15" s="34"/>
      <c r="G15" s="57"/>
    </row>
    <row r="16" spans="3:7" ht="15">
      <c r="C16" s="58" t="s">
        <v>76</v>
      </c>
      <c r="D16" s="35">
        <f>+E16*12</f>
        <v>2860</v>
      </c>
      <c r="E16" s="59">
        <f>+G16*F16</f>
        <v>238.33333333333334</v>
      </c>
      <c r="F16" s="60">
        <f>'Driver Cost'!D22</f>
        <v>11</v>
      </c>
      <c r="G16" s="54">
        <f>+(52*5)/12</f>
        <v>21.666666666666668</v>
      </c>
    </row>
    <row r="17" spans="3:7" ht="12.75">
      <c r="C17" s="61"/>
      <c r="D17" s="34"/>
      <c r="E17" s="34"/>
      <c r="F17" s="34"/>
      <c r="G17" s="57"/>
    </row>
    <row r="18" spans="3:7" ht="15">
      <c r="C18" s="58" t="s">
        <v>74</v>
      </c>
      <c r="D18" s="41"/>
      <c r="E18" s="41"/>
      <c r="F18" s="60">
        <f>'Driver Cost'!D18</f>
        <v>10</v>
      </c>
      <c r="G18" s="57"/>
    </row>
    <row r="19" spans="3:7" ht="15.75">
      <c r="C19" s="62" t="s">
        <v>105</v>
      </c>
      <c r="D19" s="63"/>
      <c r="E19" s="64"/>
      <c r="F19" s="65">
        <f>+F14/F18</f>
        <v>49.419713064713065</v>
      </c>
      <c r="G19" s="57"/>
    </row>
    <row r="20" spans="3:7" ht="12.75">
      <c r="C20" s="33"/>
      <c r="D20" s="34"/>
      <c r="E20" s="34"/>
      <c r="F20" s="34"/>
      <c r="G20" s="57"/>
    </row>
    <row r="21" spans="3:7" ht="16.5" thickBot="1">
      <c r="C21" s="66" t="s">
        <v>106</v>
      </c>
      <c r="D21" s="67"/>
      <c r="E21" s="68"/>
      <c r="F21" s="69">
        <f>+(F12+F13)/F16</f>
        <v>44.92701187701188</v>
      </c>
      <c r="G21" s="70">
        <f>+(52*5)/12</f>
        <v>21.666666666666668</v>
      </c>
    </row>
  </sheetData>
  <sheetProtection/>
  <printOptions/>
  <pageMargins left="0.75" right="0.75" top="1" bottom="1" header="0.5" footer="0.5"/>
  <pageSetup fitToHeight="1" fitToWidth="1" horizontalDpi="600" verticalDpi="600" orientation="landscape" paperSize="3"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B2:J47"/>
  <sheetViews>
    <sheetView zoomScalePageLayoutView="0" workbookViewId="0" topLeftCell="A10">
      <selection activeCell="B25" sqref="B25"/>
    </sheetView>
  </sheetViews>
  <sheetFormatPr defaultColWidth="9.140625" defaultRowHeight="12.75"/>
  <cols>
    <col min="1" max="1" width="5.421875" style="0" customWidth="1"/>
    <col min="2" max="2" width="35.140625" style="0" customWidth="1"/>
    <col min="3" max="3" width="2.28125" style="0" customWidth="1"/>
    <col min="4" max="4" width="10.8515625" style="0" customWidth="1"/>
    <col min="5" max="5" width="2.421875" style="0" customWidth="1"/>
    <col min="6" max="6" width="10.7109375" style="0" customWidth="1"/>
    <col min="7" max="7" width="3.57421875" style="0" customWidth="1"/>
    <col min="8" max="8" width="12.7109375" style="0" customWidth="1"/>
    <col min="9" max="9" width="32.140625" style="0" customWidth="1"/>
    <col min="10" max="10" width="12.28125" style="0" customWidth="1"/>
  </cols>
  <sheetData>
    <row r="1" ht="8.25" customHeight="1" thickBot="1"/>
    <row r="2" spans="2:10" ht="18.75">
      <c r="B2" s="124" t="s">
        <v>125</v>
      </c>
      <c r="C2" s="125"/>
      <c r="D2" s="126"/>
      <c r="E2" s="126"/>
      <c r="F2" s="126"/>
      <c r="G2" s="126"/>
      <c r="H2" s="126"/>
      <c r="I2" s="126"/>
      <c r="J2" s="127"/>
    </row>
    <row r="3" spans="2:10" ht="7.5" customHeight="1">
      <c r="B3" s="128"/>
      <c r="C3" s="129"/>
      <c r="D3" s="130"/>
      <c r="E3" s="130"/>
      <c r="F3" s="130"/>
      <c r="G3" s="130"/>
      <c r="H3" s="129"/>
      <c r="I3" s="129"/>
      <c r="J3" s="131"/>
    </row>
    <row r="4" spans="2:10" ht="12.75">
      <c r="B4" s="128"/>
      <c r="C4" s="129"/>
      <c r="D4" s="132" t="s">
        <v>126</v>
      </c>
      <c r="E4" s="132"/>
      <c r="F4" s="133" t="s">
        <v>127</v>
      </c>
      <c r="G4" s="133"/>
      <c r="H4" s="129"/>
      <c r="I4" s="129"/>
      <c r="J4" s="131"/>
    </row>
    <row r="5" spans="2:10" ht="15.75">
      <c r="B5" s="134" t="s">
        <v>128</v>
      </c>
      <c r="C5" s="135"/>
      <c r="D5" s="136">
        <f>'Tank Data'!F2</f>
        <v>1000</v>
      </c>
      <c r="E5" s="136"/>
      <c r="F5" s="137">
        <f>+D5</f>
        <v>1000</v>
      </c>
      <c r="G5" s="137"/>
      <c r="H5" s="129"/>
      <c r="I5" s="138"/>
      <c r="J5" s="139"/>
    </row>
    <row r="6" spans="2:10" ht="15.75">
      <c r="B6" s="134" t="s">
        <v>129</v>
      </c>
      <c r="C6" s="135"/>
      <c r="D6" s="136">
        <f>'Tank Data'!I29</f>
        <v>1941</v>
      </c>
      <c r="E6" s="136"/>
      <c r="F6" s="137">
        <f>+D6</f>
        <v>1941</v>
      </c>
      <c r="G6" s="137"/>
      <c r="H6" s="129"/>
      <c r="I6" s="129"/>
      <c r="J6" s="131"/>
    </row>
    <row r="7" spans="2:10" ht="15.75">
      <c r="B7" s="134" t="s">
        <v>130</v>
      </c>
      <c r="C7" s="135"/>
      <c r="D7" s="140">
        <f>'Tank Data'!I30</f>
        <v>485.25</v>
      </c>
      <c r="E7" s="140"/>
      <c r="F7" s="141">
        <f>+F9*F5</f>
        <v>880</v>
      </c>
      <c r="G7" s="137"/>
      <c r="H7" s="129"/>
      <c r="I7" s="129"/>
      <c r="J7" s="131"/>
    </row>
    <row r="8" spans="2:10" ht="15.75">
      <c r="B8" s="134" t="s">
        <v>131</v>
      </c>
      <c r="C8" s="135"/>
      <c r="D8" s="142">
        <f>+D6/D7</f>
        <v>4</v>
      </c>
      <c r="E8" s="142"/>
      <c r="F8" s="143">
        <f>+F6/F7</f>
        <v>2.205681818181818</v>
      </c>
      <c r="G8" s="143"/>
      <c r="H8" s="129"/>
      <c r="I8" s="129"/>
      <c r="J8" s="131"/>
    </row>
    <row r="9" spans="2:10" ht="15.75">
      <c r="B9" s="134" t="s">
        <v>132</v>
      </c>
      <c r="C9" s="135"/>
      <c r="D9" s="144">
        <f>'Tank Data'!J30</f>
        <v>0.48525</v>
      </c>
      <c r="E9" s="144"/>
      <c r="F9" s="145">
        <v>0.88</v>
      </c>
      <c r="G9" s="146"/>
      <c r="H9" s="129"/>
      <c r="I9" s="129"/>
      <c r="J9" s="131"/>
    </row>
    <row r="10" spans="2:10" ht="15.75">
      <c r="B10" s="134" t="s">
        <v>133</v>
      </c>
      <c r="C10" s="135"/>
      <c r="D10" s="147">
        <f>'Delivery Cost'!F21</f>
        <v>44.92701187701188</v>
      </c>
      <c r="E10" s="147"/>
      <c r="F10" s="148">
        <f>+D10</f>
        <v>44.92701187701188</v>
      </c>
      <c r="G10" s="148"/>
      <c r="H10" s="129"/>
      <c r="I10" s="129"/>
      <c r="J10" s="149"/>
    </row>
    <row r="11" spans="2:10" ht="15" customHeight="1">
      <c r="B11" s="128"/>
      <c r="C11" s="129"/>
      <c r="D11" s="129"/>
      <c r="E11" s="129"/>
      <c r="F11" s="129"/>
      <c r="G11" s="141"/>
      <c r="H11" s="129"/>
      <c r="I11" s="150" t="s">
        <v>134</v>
      </c>
      <c r="J11" s="131"/>
    </row>
    <row r="12" spans="2:10" ht="23.25" customHeight="1">
      <c r="B12" s="151" t="s">
        <v>135</v>
      </c>
      <c r="C12" s="152"/>
      <c r="D12" s="153">
        <f>+D10/D7</f>
        <v>0.09258528980321871</v>
      </c>
      <c r="E12" s="154" t="s">
        <v>136</v>
      </c>
      <c r="F12" s="155">
        <f>+F10/F7</f>
        <v>0.0510534225875135</v>
      </c>
      <c r="G12" s="154" t="s">
        <v>137</v>
      </c>
      <c r="H12" s="156">
        <f>+D12-F12</f>
        <v>0.04153186721570522</v>
      </c>
      <c r="I12" s="157" t="s">
        <v>138</v>
      </c>
      <c r="J12" s="131"/>
    </row>
    <row r="13" spans="2:10" ht="15.75">
      <c r="B13" s="128"/>
      <c r="C13" s="129"/>
      <c r="D13" s="147"/>
      <c r="E13" s="147"/>
      <c r="F13" s="129"/>
      <c r="G13" s="129"/>
      <c r="H13" s="158">
        <f>+D25/F6</f>
        <v>0.009788768675940238</v>
      </c>
      <c r="I13" s="159" t="s">
        <v>139</v>
      </c>
      <c r="J13" s="131"/>
    </row>
    <row r="14" spans="2:10" ht="15.75">
      <c r="B14" s="128"/>
      <c r="C14" s="129"/>
      <c r="D14" s="160"/>
      <c r="E14" s="160"/>
      <c r="F14" s="129"/>
      <c r="G14" s="129"/>
      <c r="H14" s="161">
        <f>+H12-H13</f>
        <v>0.03174309853976498</v>
      </c>
      <c r="I14" s="162" t="s">
        <v>140</v>
      </c>
      <c r="J14" s="131"/>
    </row>
    <row r="15" spans="2:10" ht="5.25" customHeight="1">
      <c r="B15" s="128"/>
      <c r="C15" s="129"/>
      <c r="D15" s="160"/>
      <c r="E15" s="160"/>
      <c r="F15" s="129"/>
      <c r="G15" s="129"/>
      <c r="H15" s="163"/>
      <c r="I15" s="162"/>
      <c r="J15" s="131"/>
    </row>
    <row r="16" spans="2:10" ht="15.75">
      <c r="B16" s="128"/>
      <c r="C16" s="129"/>
      <c r="D16" s="147"/>
      <c r="E16" s="147"/>
      <c r="F16" s="129"/>
      <c r="G16" s="129"/>
      <c r="H16" s="164">
        <f>+H14/H13</f>
        <v>3.242808119246517</v>
      </c>
      <c r="I16" s="165" t="s">
        <v>141</v>
      </c>
      <c r="J16" s="131"/>
    </row>
    <row r="17" spans="2:10" ht="7.5" customHeight="1">
      <c r="B17" s="128"/>
      <c r="C17" s="129"/>
      <c r="D17" s="147"/>
      <c r="E17" s="147"/>
      <c r="F17" s="129"/>
      <c r="G17" s="129"/>
      <c r="H17" s="166"/>
      <c r="I17" s="162"/>
      <c r="J17" s="131"/>
    </row>
    <row r="18" spans="2:10" ht="15.75">
      <c r="B18" s="167" t="s">
        <v>142</v>
      </c>
      <c r="C18" s="129"/>
      <c r="D18" s="168">
        <f>+D8</f>
        <v>4</v>
      </c>
      <c r="E18" s="168"/>
      <c r="F18" s="169">
        <f>+F8</f>
        <v>2.205681818181818</v>
      </c>
      <c r="G18" s="169"/>
      <c r="H18" s="169">
        <f>+D18-F18</f>
        <v>1.794318181818182</v>
      </c>
      <c r="I18" s="157" t="s">
        <v>143</v>
      </c>
      <c r="J18" s="131"/>
    </row>
    <row r="19" spans="2:10" ht="15.75">
      <c r="B19" s="128"/>
      <c r="C19" s="129"/>
      <c r="D19" s="170"/>
      <c r="E19" s="170"/>
      <c r="F19" s="129"/>
      <c r="G19" s="129"/>
      <c r="H19" s="171">
        <v>8</v>
      </c>
      <c r="I19" s="172" t="s">
        <v>144</v>
      </c>
      <c r="J19" s="131"/>
    </row>
    <row r="20" spans="2:10" ht="6.75" customHeight="1">
      <c r="B20" s="128"/>
      <c r="C20" s="129"/>
      <c r="D20" s="129"/>
      <c r="E20" s="129"/>
      <c r="F20" s="129"/>
      <c r="G20" s="173"/>
      <c r="H20" s="129"/>
      <c r="I20" s="129"/>
      <c r="J20" s="131"/>
    </row>
    <row r="21" spans="2:10" ht="18.75">
      <c r="B21" s="128"/>
      <c r="C21" s="129"/>
      <c r="D21" s="174"/>
      <c r="E21" s="130"/>
      <c r="F21" s="175" t="s">
        <v>145</v>
      </c>
      <c r="G21" s="176"/>
      <c r="H21" s="129"/>
      <c r="I21" s="129"/>
      <c r="J21" s="131"/>
    </row>
    <row r="22" spans="2:10" ht="6.75" customHeight="1">
      <c r="B22" s="128"/>
      <c r="C22" s="177"/>
      <c r="D22" s="177"/>
      <c r="E22" s="177"/>
      <c r="F22" s="177"/>
      <c r="G22" s="177"/>
      <c r="H22" s="178"/>
      <c r="I22" s="177"/>
      <c r="J22" s="131"/>
    </row>
    <row r="23" spans="2:10" ht="15.75">
      <c r="B23" s="179"/>
      <c r="C23" s="180" t="s">
        <v>146</v>
      </c>
      <c r="D23" s="181">
        <f>+H12*F6</f>
        <v>80.61335426568382</v>
      </c>
      <c r="E23" s="181"/>
      <c r="F23" s="182" t="s">
        <v>147</v>
      </c>
      <c r="G23" s="183"/>
      <c r="H23" s="184"/>
      <c r="I23" s="129"/>
      <c r="J23" s="131"/>
    </row>
    <row r="24" spans="2:10" ht="6" customHeight="1">
      <c r="B24" s="179"/>
      <c r="C24" s="130"/>
      <c r="D24" s="181"/>
      <c r="E24" s="181"/>
      <c r="F24" s="182"/>
      <c r="G24" s="183"/>
      <c r="H24" s="184"/>
      <c r="I24" s="129"/>
      <c r="J24" s="131"/>
    </row>
    <row r="25" spans="2:10" ht="15.75">
      <c r="B25" s="179"/>
      <c r="C25" s="180" t="s">
        <v>136</v>
      </c>
      <c r="D25" s="208">
        <v>19</v>
      </c>
      <c r="E25" s="181"/>
      <c r="F25" s="182" t="s">
        <v>148</v>
      </c>
      <c r="G25" s="183"/>
      <c r="H25" s="130"/>
      <c r="I25" s="130"/>
      <c r="J25" s="149"/>
    </row>
    <row r="26" spans="2:10" ht="5.25" customHeight="1">
      <c r="B26" s="128"/>
      <c r="C26" s="129"/>
      <c r="D26" s="130"/>
      <c r="E26" s="130"/>
      <c r="F26" s="184" t="s">
        <v>13</v>
      </c>
      <c r="G26" s="185"/>
      <c r="H26" s="130"/>
      <c r="I26" s="129"/>
      <c r="J26" s="131"/>
    </row>
    <row r="27" spans="2:10" ht="15.75">
      <c r="B27" s="128"/>
      <c r="C27" s="154" t="s">
        <v>137</v>
      </c>
      <c r="D27" s="181">
        <f>+D23-D25</f>
        <v>61.613354265683824</v>
      </c>
      <c r="E27" s="181"/>
      <c r="F27" s="182" t="s">
        <v>149</v>
      </c>
      <c r="G27" s="183"/>
      <c r="H27" s="130"/>
      <c r="I27" s="129"/>
      <c r="J27" s="131"/>
    </row>
    <row r="28" spans="2:10" ht="5.25" customHeight="1">
      <c r="B28" s="128"/>
      <c r="C28" s="129"/>
      <c r="D28" s="181"/>
      <c r="E28" s="181"/>
      <c r="F28" s="182"/>
      <c r="G28" s="183"/>
      <c r="H28" s="130"/>
      <c r="I28" s="129"/>
      <c r="J28" s="131"/>
    </row>
    <row r="29" spans="2:10" ht="15.75">
      <c r="B29" s="128"/>
      <c r="C29" s="180" t="s">
        <v>146</v>
      </c>
      <c r="D29" s="186">
        <f>+H18*H19</f>
        <v>14.354545454545455</v>
      </c>
      <c r="E29" s="186"/>
      <c r="F29" s="187" t="s">
        <v>150</v>
      </c>
      <c r="G29" s="188"/>
      <c r="H29" s="130"/>
      <c r="I29" s="129"/>
      <c r="J29" s="131"/>
    </row>
    <row r="30" spans="2:10" ht="6.75" customHeight="1">
      <c r="B30" s="128"/>
      <c r="C30" s="129"/>
      <c r="D30" s="130"/>
      <c r="E30" s="130"/>
      <c r="F30" s="185"/>
      <c r="G30" s="185"/>
      <c r="H30" s="130"/>
      <c r="I30" s="129"/>
      <c r="J30" s="131"/>
    </row>
    <row r="31" spans="2:10" ht="17.25">
      <c r="B31" s="128"/>
      <c r="C31" s="154" t="s">
        <v>137</v>
      </c>
      <c r="D31" s="189">
        <f>+D27+D29</f>
        <v>75.96789972022928</v>
      </c>
      <c r="E31" s="189"/>
      <c r="F31" s="182" t="s">
        <v>151</v>
      </c>
      <c r="G31" s="182"/>
      <c r="H31" s="129"/>
      <c r="I31" s="129"/>
      <c r="J31" s="131"/>
    </row>
    <row r="32" spans="2:10" ht="3.75" customHeight="1">
      <c r="B32" s="128"/>
      <c r="C32" s="129"/>
      <c r="D32" s="129"/>
      <c r="E32" s="129"/>
      <c r="F32" s="129"/>
      <c r="G32" s="129"/>
      <c r="H32" s="129"/>
      <c r="I32" s="129"/>
      <c r="J32" s="131"/>
    </row>
    <row r="33" spans="2:10" ht="16.5" thickBot="1">
      <c r="B33" s="128"/>
      <c r="C33" s="190"/>
      <c r="D33" s="191">
        <f>+D31/D25</f>
        <v>3.998310511591015</v>
      </c>
      <c r="E33" s="190"/>
      <c r="F33" s="192" t="s">
        <v>152</v>
      </c>
      <c r="G33" s="190"/>
      <c r="H33" s="190"/>
      <c r="I33" s="190"/>
      <c r="J33" s="131"/>
    </row>
    <row r="34" spans="2:10" ht="14.25" thickBot="1" thickTop="1">
      <c r="B34" s="193"/>
      <c r="C34" s="194"/>
      <c r="D34" s="194"/>
      <c r="E34" s="194"/>
      <c r="F34" s="194"/>
      <c r="G34" s="194"/>
      <c r="H34" s="194"/>
      <c r="I34" s="194"/>
      <c r="J34" s="195"/>
    </row>
    <row r="41" spans="2:10" ht="78" customHeight="1">
      <c r="B41" s="735" t="s">
        <v>153</v>
      </c>
      <c r="C41" s="726"/>
      <c r="D41" s="726"/>
      <c r="E41" s="726"/>
      <c r="F41" s="726"/>
      <c r="G41" s="726"/>
      <c r="H41" s="726"/>
      <c r="I41" s="726"/>
      <c r="J41" s="727"/>
    </row>
    <row r="42" spans="2:10" ht="12.75">
      <c r="B42" s="128"/>
      <c r="C42" s="129"/>
      <c r="D42" s="129" t="s">
        <v>154</v>
      </c>
      <c r="E42" s="129"/>
      <c r="F42" s="129" t="s">
        <v>155</v>
      </c>
      <c r="G42" s="129"/>
      <c r="H42" s="130"/>
      <c r="I42" s="130"/>
      <c r="J42" s="149"/>
    </row>
    <row r="43" spans="2:10" ht="12.75">
      <c r="B43" s="196" t="s">
        <v>156</v>
      </c>
      <c r="C43" s="197"/>
      <c r="D43" s="129">
        <v>12</v>
      </c>
      <c r="E43" s="129"/>
      <c r="F43" s="129"/>
      <c r="G43" s="129"/>
      <c r="H43" s="129"/>
      <c r="I43" s="129"/>
      <c r="J43" s="131"/>
    </row>
    <row r="44" spans="2:10" ht="60.75" customHeight="1">
      <c r="B44" s="198" t="s">
        <v>157</v>
      </c>
      <c r="C44" s="199"/>
      <c r="D44" s="200"/>
      <c r="E44" s="200"/>
      <c r="F44" s="201"/>
      <c r="G44" s="201"/>
      <c r="H44" s="736" t="s">
        <v>158</v>
      </c>
      <c r="I44" s="726"/>
      <c r="J44" s="727"/>
    </row>
    <row r="45" spans="2:10" ht="15">
      <c r="B45" s="196" t="s">
        <v>159</v>
      </c>
      <c r="C45" s="197"/>
      <c r="D45" s="129"/>
      <c r="E45" s="129"/>
      <c r="F45" s="200"/>
      <c r="G45" s="200"/>
      <c r="H45" s="130"/>
      <c r="I45" s="130"/>
      <c r="J45" s="149"/>
    </row>
    <row r="46" spans="2:10" ht="12.75">
      <c r="B46" s="202" t="s">
        <v>160</v>
      </c>
      <c r="C46" s="135"/>
      <c r="D46" s="203"/>
      <c r="E46" s="203"/>
      <c r="F46" s="204"/>
      <c r="G46" s="204"/>
      <c r="H46" s="130"/>
      <c r="I46" s="205"/>
      <c r="J46" s="206"/>
    </row>
    <row r="47" spans="2:10" ht="13.5" thickBot="1">
      <c r="B47" s="193"/>
      <c r="C47" s="194"/>
      <c r="D47" s="194"/>
      <c r="E47" s="194"/>
      <c r="F47" s="207"/>
      <c r="G47" s="207"/>
      <c r="H47" s="194"/>
      <c r="I47" s="194"/>
      <c r="J47" s="195"/>
    </row>
  </sheetData>
  <sheetProtection/>
  <mergeCells count="2">
    <mergeCell ref="B41:J41"/>
    <mergeCell ref="H44:J44"/>
  </mergeCells>
  <printOptions/>
  <pageMargins left="0.75" right="0.75" top="1" bottom="1" header="0.5" footer="0.5"/>
  <pageSetup fitToHeight="1" fitToWidth="1" horizontalDpi="600" verticalDpi="600" orientation="landscape" paperSize="3" scale="91"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28"/>
  <sheetViews>
    <sheetView zoomScale="75" zoomScaleNormal="75" zoomScalePageLayoutView="0" workbookViewId="0" topLeftCell="A1">
      <selection activeCell="K15" sqref="K15"/>
    </sheetView>
  </sheetViews>
  <sheetFormatPr defaultColWidth="9.140625" defaultRowHeight="12.75"/>
  <cols>
    <col min="1" max="1" width="43.8515625" style="0" customWidth="1"/>
    <col min="2" max="2" width="12.57421875" style="0" customWidth="1"/>
    <col min="3" max="3" width="13.00390625" style="0" customWidth="1"/>
    <col min="5" max="17" width="7.7109375" style="0" customWidth="1"/>
  </cols>
  <sheetData>
    <row r="1" spans="1:4" ht="21" thickBot="1">
      <c r="A1" s="217" t="s">
        <v>164</v>
      </c>
      <c r="B1" s="249">
        <v>0.175</v>
      </c>
      <c r="D1" s="29"/>
    </row>
    <row r="2" spans="1:17" ht="21" thickBot="1">
      <c r="A2" s="228" t="s">
        <v>165</v>
      </c>
      <c r="B2" s="229">
        <f>B1*100</f>
        <v>17.5</v>
      </c>
      <c r="D2" s="29"/>
      <c r="E2" s="740" t="s">
        <v>161</v>
      </c>
      <c r="F2" s="741"/>
      <c r="G2" s="741"/>
      <c r="H2" s="741"/>
      <c r="I2" s="741"/>
      <c r="J2" s="741"/>
      <c r="K2" s="741"/>
      <c r="L2" s="741"/>
      <c r="M2" s="741"/>
      <c r="N2" s="741"/>
      <c r="O2" s="741"/>
      <c r="P2" s="741"/>
      <c r="Q2" s="742"/>
    </row>
    <row r="3" spans="1:17" ht="45">
      <c r="A3" s="261" t="s">
        <v>166</v>
      </c>
      <c r="B3" s="245" t="s">
        <v>163</v>
      </c>
      <c r="C3" s="245" t="s">
        <v>162</v>
      </c>
      <c r="D3" s="244" t="s">
        <v>68</v>
      </c>
      <c r="E3" s="231">
        <v>400</v>
      </c>
      <c r="F3" s="232">
        <v>500</v>
      </c>
      <c r="G3" s="232">
        <v>600</v>
      </c>
      <c r="H3" s="232">
        <v>700</v>
      </c>
      <c r="I3" s="232">
        <v>800</v>
      </c>
      <c r="J3" s="232">
        <v>900</v>
      </c>
      <c r="K3" s="232">
        <v>1000</v>
      </c>
      <c r="L3" s="232">
        <v>1500</v>
      </c>
      <c r="M3" s="232">
        <v>1750</v>
      </c>
      <c r="N3" s="232">
        <v>2000</v>
      </c>
      <c r="O3" s="232">
        <v>2500</v>
      </c>
      <c r="P3" s="232">
        <v>3000</v>
      </c>
      <c r="Q3" s="233">
        <v>3500</v>
      </c>
    </row>
    <row r="4" spans="1:17" ht="15.75">
      <c r="A4" s="212"/>
      <c r="B4" s="246">
        <f>C4*B$12/60</f>
        <v>1.4975670625670634</v>
      </c>
      <c r="C4" s="241">
        <f>F4-E4</f>
        <v>1.8181818181818192</v>
      </c>
      <c r="D4" s="238">
        <v>55</v>
      </c>
      <c r="E4" s="234">
        <f aca="true" t="shared" si="0" ref="E4:Q8">E$3/$D4</f>
        <v>7.2727272727272725</v>
      </c>
      <c r="F4" s="213">
        <f t="shared" si="0"/>
        <v>9.090909090909092</v>
      </c>
      <c r="G4" s="213">
        <f t="shared" si="0"/>
        <v>10.909090909090908</v>
      </c>
      <c r="H4" s="213">
        <f t="shared" si="0"/>
        <v>12.727272727272727</v>
      </c>
      <c r="I4" s="213">
        <f t="shared" si="0"/>
        <v>14.545454545454545</v>
      </c>
      <c r="J4" s="213">
        <f t="shared" si="0"/>
        <v>16.363636363636363</v>
      </c>
      <c r="K4" s="213">
        <f t="shared" si="0"/>
        <v>18.181818181818183</v>
      </c>
      <c r="L4" s="213">
        <f t="shared" si="0"/>
        <v>27.272727272727273</v>
      </c>
      <c r="M4" s="213">
        <f t="shared" si="0"/>
        <v>31.818181818181817</v>
      </c>
      <c r="N4" s="213">
        <f t="shared" si="0"/>
        <v>36.36363636363637</v>
      </c>
      <c r="O4" s="213">
        <f t="shared" si="0"/>
        <v>45.45454545454545</v>
      </c>
      <c r="P4" s="213">
        <f t="shared" si="0"/>
        <v>54.54545454545455</v>
      </c>
      <c r="Q4" s="235">
        <f t="shared" si="0"/>
        <v>63.63636363636363</v>
      </c>
    </row>
    <row r="5" spans="2:17" ht="15.75">
      <c r="B5" s="247">
        <f>C5*B$12/60</f>
        <v>1.2671721298644374</v>
      </c>
      <c r="C5" s="242">
        <f>F5-E5</f>
        <v>1.5384615384615383</v>
      </c>
      <c r="D5" s="239">
        <v>65</v>
      </c>
      <c r="E5" s="236">
        <f t="shared" si="0"/>
        <v>6.153846153846154</v>
      </c>
      <c r="F5" s="227">
        <f t="shared" si="0"/>
        <v>7.6923076923076925</v>
      </c>
      <c r="G5" s="227">
        <f t="shared" si="0"/>
        <v>9.23076923076923</v>
      </c>
      <c r="H5" s="227">
        <f t="shared" si="0"/>
        <v>10.76923076923077</v>
      </c>
      <c r="I5" s="227">
        <f t="shared" si="0"/>
        <v>12.307692307692308</v>
      </c>
      <c r="J5" s="227">
        <f t="shared" si="0"/>
        <v>13.846153846153847</v>
      </c>
      <c r="K5" s="227">
        <f t="shared" si="0"/>
        <v>15.384615384615385</v>
      </c>
      <c r="L5" s="227">
        <f t="shared" si="0"/>
        <v>23.076923076923077</v>
      </c>
      <c r="M5" s="227">
        <f t="shared" si="0"/>
        <v>26.923076923076923</v>
      </c>
      <c r="N5" s="227">
        <f t="shared" si="0"/>
        <v>30.76923076923077</v>
      </c>
      <c r="O5" s="227">
        <f t="shared" si="0"/>
        <v>38.46153846153846</v>
      </c>
      <c r="P5" s="227">
        <f t="shared" si="0"/>
        <v>46.15384615384615</v>
      </c>
      <c r="Q5" s="237">
        <f t="shared" si="0"/>
        <v>53.84615384615385</v>
      </c>
    </row>
    <row r="6" spans="2:17" ht="15.75">
      <c r="B6" s="246">
        <f>C6*B$12/60</f>
        <v>0.9690139816610407</v>
      </c>
      <c r="C6" s="241">
        <f>F6-E6</f>
        <v>1.1764705882352944</v>
      </c>
      <c r="D6" s="238">
        <v>85</v>
      </c>
      <c r="E6" s="234">
        <f t="shared" si="0"/>
        <v>4.705882352941177</v>
      </c>
      <c r="F6" s="213">
        <f t="shared" si="0"/>
        <v>5.882352941176471</v>
      </c>
      <c r="G6" s="213">
        <f t="shared" si="0"/>
        <v>7.0588235294117645</v>
      </c>
      <c r="H6" s="213">
        <f t="shared" si="0"/>
        <v>8.235294117647058</v>
      </c>
      <c r="I6" s="213">
        <f t="shared" si="0"/>
        <v>9.411764705882353</v>
      </c>
      <c r="J6" s="213">
        <f t="shared" si="0"/>
        <v>10.588235294117647</v>
      </c>
      <c r="K6" s="213">
        <f t="shared" si="0"/>
        <v>11.764705882352942</v>
      </c>
      <c r="L6" s="213">
        <f t="shared" si="0"/>
        <v>17.647058823529413</v>
      </c>
      <c r="M6" s="213">
        <f t="shared" si="0"/>
        <v>20.58823529411765</v>
      </c>
      <c r="N6" s="213">
        <f t="shared" si="0"/>
        <v>23.529411764705884</v>
      </c>
      <c r="O6" s="213">
        <f t="shared" si="0"/>
        <v>29.41176470588235</v>
      </c>
      <c r="P6" s="213">
        <f t="shared" si="0"/>
        <v>35.294117647058826</v>
      </c>
      <c r="Q6" s="235">
        <f t="shared" si="0"/>
        <v>41.1764705882353</v>
      </c>
    </row>
    <row r="7" spans="2:17" ht="15.75">
      <c r="B7" s="246">
        <f>C7*B$12/60</f>
        <v>0.7487835312835317</v>
      </c>
      <c r="C7" s="241">
        <f>F7-E7</f>
        <v>0.9090909090909096</v>
      </c>
      <c r="D7" s="238">
        <v>110</v>
      </c>
      <c r="E7" s="234">
        <f t="shared" si="0"/>
        <v>3.6363636363636362</v>
      </c>
      <c r="F7" s="213">
        <f t="shared" si="0"/>
        <v>4.545454545454546</v>
      </c>
      <c r="G7" s="213">
        <f t="shared" si="0"/>
        <v>5.454545454545454</v>
      </c>
      <c r="H7" s="213">
        <f t="shared" si="0"/>
        <v>6.363636363636363</v>
      </c>
      <c r="I7" s="213">
        <f t="shared" si="0"/>
        <v>7.2727272727272725</v>
      </c>
      <c r="J7" s="213">
        <f t="shared" si="0"/>
        <v>8.181818181818182</v>
      </c>
      <c r="K7" s="213">
        <f t="shared" si="0"/>
        <v>9.090909090909092</v>
      </c>
      <c r="L7" s="213">
        <f t="shared" si="0"/>
        <v>13.636363636363637</v>
      </c>
      <c r="M7" s="213">
        <f t="shared" si="0"/>
        <v>15.909090909090908</v>
      </c>
      <c r="N7" s="213">
        <f t="shared" si="0"/>
        <v>18.181818181818183</v>
      </c>
      <c r="O7" s="213">
        <f t="shared" si="0"/>
        <v>22.727272727272727</v>
      </c>
      <c r="P7" s="213">
        <f t="shared" si="0"/>
        <v>27.272727272727273</v>
      </c>
      <c r="Q7" s="235">
        <f t="shared" si="0"/>
        <v>31.818181818181817</v>
      </c>
    </row>
    <row r="8" spans="2:18" ht="18">
      <c r="B8" s="246">
        <f>C8*B$12/60</f>
        <v>0.6335860649322187</v>
      </c>
      <c r="C8" s="241">
        <f>F8-E8</f>
        <v>0.7692307692307692</v>
      </c>
      <c r="D8" s="238">
        <v>130</v>
      </c>
      <c r="E8" s="234">
        <f t="shared" si="0"/>
        <v>3.076923076923077</v>
      </c>
      <c r="F8" s="213">
        <f t="shared" si="0"/>
        <v>3.8461538461538463</v>
      </c>
      <c r="G8" s="213">
        <f t="shared" si="0"/>
        <v>4.615384615384615</v>
      </c>
      <c r="H8" s="213">
        <f t="shared" si="0"/>
        <v>5.384615384615385</v>
      </c>
      <c r="I8" s="213">
        <f t="shared" si="0"/>
        <v>6.153846153846154</v>
      </c>
      <c r="J8" s="213">
        <f t="shared" si="0"/>
        <v>6.923076923076923</v>
      </c>
      <c r="K8" s="213">
        <f t="shared" si="0"/>
        <v>7.6923076923076925</v>
      </c>
      <c r="L8" s="213">
        <f t="shared" si="0"/>
        <v>11.538461538461538</v>
      </c>
      <c r="M8" s="213">
        <f t="shared" si="0"/>
        <v>13.461538461538462</v>
      </c>
      <c r="N8" s="213">
        <f t="shared" si="0"/>
        <v>15.384615384615385</v>
      </c>
      <c r="O8" s="213">
        <f t="shared" si="0"/>
        <v>19.23076923076923</v>
      </c>
      <c r="P8" s="213">
        <f t="shared" si="0"/>
        <v>23.076923076923077</v>
      </c>
      <c r="Q8" s="235">
        <f t="shared" si="0"/>
        <v>26.923076923076923</v>
      </c>
      <c r="R8" s="30"/>
    </row>
    <row r="9" spans="1:17" ht="16.5" thickBot="1">
      <c r="A9" s="230"/>
      <c r="B9" s="243"/>
      <c r="C9" s="243"/>
      <c r="D9" s="240"/>
      <c r="E9" s="737" t="s">
        <v>69</v>
      </c>
      <c r="F9" s="738"/>
      <c r="G9" s="738"/>
      <c r="H9" s="738"/>
      <c r="I9" s="738"/>
      <c r="J9" s="738"/>
      <c r="K9" s="738"/>
      <c r="L9" s="738"/>
      <c r="M9" s="738"/>
      <c r="N9" s="738"/>
      <c r="O9" s="738"/>
      <c r="P9" s="738"/>
      <c r="Q9" s="739"/>
    </row>
    <row r="11" spans="3:6" ht="24" thickBot="1">
      <c r="C11" s="31"/>
      <c r="E11" s="699" t="s">
        <v>551</v>
      </c>
      <c r="F11" s="209"/>
    </row>
    <row r="12" spans="1:7" ht="15.75">
      <c r="A12" s="250" t="s">
        <v>105</v>
      </c>
      <c r="B12" s="251">
        <f>'Delivery Cost'!F19</f>
        <v>49.419713064713065</v>
      </c>
      <c r="C12" s="214"/>
      <c r="F12" s="210"/>
      <c r="G12" s="34"/>
    </row>
    <row r="13" spans="1:6" ht="15.75">
      <c r="A13" s="252" t="s">
        <v>106</v>
      </c>
      <c r="B13" s="253">
        <f>'Delivery Cost'!F21</f>
        <v>44.92701187701188</v>
      </c>
      <c r="C13" s="214"/>
      <c r="F13" s="209"/>
    </row>
    <row r="14" spans="1:3" ht="15">
      <c r="A14" s="254" t="s">
        <v>74</v>
      </c>
      <c r="B14" s="255">
        <f>'Driver Cost'!D18</f>
        <v>10</v>
      </c>
      <c r="C14" s="215"/>
    </row>
    <row r="15" spans="1:3" ht="15.75">
      <c r="A15" s="254" t="s">
        <v>76</v>
      </c>
      <c r="B15" s="256">
        <f>'Driver Cost'!D22</f>
        <v>11</v>
      </c>
      <c r="C15" s="215"/>
    </row>
    <row r="16" spans="1:3" ht="16.5" thickBot="1">
      <c r="A16" s="257" t="s">
        <v>183</v>
      </c>
      <c r="B16" s="258">
        <f>'Driver Cost'!D20</f>
        <v>23.76</v>
      </c>
      <c r="C16" s="216"/>
    </row>
    <row r="17" spans="1:5" ht="12.75">
      <c r="A17" s="36"/>
      <c r="B17" s="31"/>
      <c r="C17" s="31"/>
      <c r="D17" s="31"/>
      <c r="E17" s="31"/>
    </row>
    <row r="19" ht="20.25">
      <c r="A19" s="703" t="s">
        <v>181</v>
      </c>
    </row>
    <row r="20" spans="1:20" ht="18">
      <c r="A20" s="704" t="s">
        <v>167</v>
      </c>
      <c r="B20" s="218" t="s">
        <v>296</v>
      </c>
      <c r="C20" s="218"/>
      <c r="D20" s="218"/>
      <c r="E20" s="219"/>
      <c r="F20" s="219"/>
      <c r="G20" s="219"/>
      <c r="H20" s="219"/>
      <c r="I20" s="219"/>
      <c r="J20" s="219"/>
      <c r="K20" s="219"/>
      <c r="L20" s="219"/>
      <c r="M20" s="219"/>
      <c r="N20" s="219"/>
      <c r="O20" s="219"/>
      <c r="P20" s="219"/>
      <c r="Q20" s="219"/>
      <c r="R20" s="31"/>
      <c r="S20" s="31"/>
      <c r="T20" s="31"/>
    </row>
    <row r="21" spans="1:20" ht="18">
      <c r="A21" s="704" t="s">
        <v>168</v>
      </c>
      <c r="B21" s="211" t="s">
        <v>291</v>
      </c>
      <c r="C21" s="211"/>
      <c r="D21" s="211"/>
      <c r="E21" s="38"/>
      <c r="F21" s="38"/>
      <c r="G21" s="38"/>
      <c r="H21" s="38"/>
      <c r="I21" s="38"/>
      <c r="J21" s="38"/>
      <c r="K21" s="38"/>
      <c r="L21" s="38"/>
      <c r="M21" s="38"/>
      <c r="N21" s="38"/>
      <c r="O21" s="38"/>
      <c r="P21" s="38"/>
      <c r="Q21" s="38"/>
      <c r="R21" s="31"/>
      <c r="S21" s="31"/>
      <c r="T21" s="31"/>
    </row>
    <row r="22" spans="1:20" ht="18">
      <c r="A22" s="705" t="s">
        <v>22</v>
      </c>
      <c r="B22" s="702" t="s">
        <v>292</v>
      </c>
      <c r="C22" s="211"/>
      <c r="D22" s="211"/>
      <c r="E22" s="38"/>
      <c r="F22" s="38"/>
      <c r="G22" s="38"/>
      <c r="H22" s="38"/>
      <c r="I22" s="38"/>
      <c r="J22" s="38"/>
      <c r="K22" s="38"/>
      <c r="L22" s="38"/>
      <c r="M22" s="38"/>
      <c r="N22" s="38"/>
      <c r="O22" s="38"/>
      <c r="P22" s="38"/>
      <c r="Q22" s="38"/>
      <c r="R22" s="31"/>
      <c r="S22" s="31"/>
      <c r="T22" s="31"/>
    </row>
    <row r="23" spans="1:20" ht="15.75">
      <c r="A23" s="211"/>
      <c r="B23" s="702" t="s">
        <v>293</v>
      </c>
      <c r="C23" s="211"/>
      <c r="D23" s="211"/>
      <c r="E23" s="38"/>
      <c r="F23" s="38"/>
      <c r="G23" s="38"/>
      <c r="H23" s="38"/>
      <c r="I23" s="38"/>
      <c r="J23" s="38"/>
      <c r="K23" s="38"/>
      <c r="L23" s="38"/>
      <c r="M23" s="38"/>
      <c r="N23" s="38"/>
      <c r="O23" s="38"/>
      <c r="P23" s="38"/>
      <c r="Q23" s="38"/>
      <c r="R23" s="31"/>
      <c r="S23" s="31"/>
      <c r="T23" s="31"/>
    </row>
    <row r="24" spans="1:20" ht="15.75">
      <c r="A24" s="211"/>
      <c r="B24" s="211" t="s">
        <v>294</v>
      </c>
      <c r="C24" s="211"/>
      <c r="D24" s="211"/>
      <c r="E24" s="38"/>
      <c r="F24" s="38"/>
      <c r="G24" s="38"/>
      <c r="H24" s="38"/>
      <c r="I24" s="38"/>
      <c r="J24" s="38"/>
      <c r="K24" s="38"/>
      <c r="L24" s="38"/>
      <c r="M24" s="38"/>
      <c r="N24" s="38"/>
      <c r="O24" s="38"/>
      <c r="P24" s="38"/>
      <c r="Q24" s="38"/>
      <c r="R24" s="31"/>
      <c r="S24" s="31"/>
      <c r="T24" s="31"/>
    </row>
    <row r="25" spans="1:20" ht="15.75">
      <c r="A25" s="211"/>
      <c r="B25" s="702" t="s">
        <v>295</v>
      </c>
      <c r="C25" s="211"/>
      <c r="D25" s="211"/>
      <c r="E25" s="38"/>
      <c r="F25" s="38"/>
      <c r="G25" s="38"/>
      <c r="H25" s="38"/>
      <c r="I25" s="38"/>
      <c r="J25" s="38"/>
      <c r="K25" s="38"/>
      <c r="L25" s="38"/>
      <c r="M25" s="38"/>
      <c r="N25" s="38"/>
      <c r="O25" s="38"/>
      <c r="P25" s="38"/>
      <c r="Q25" s="38"/>
      <c r="R25" s="31"/>
      <c r="S25" s="31"/>
      <c r="T25" s="31"/>
    </row>
    <row r="26" spans="1:20" ht="23.25">
      <c r="A26" s="211"/>
      <c r="B26" s="211"/>
      <c r="C26" s="211"/>
      <c r="E26" s="700" t="s">
        <v>552</v>
      </c>
      <c r="F26" s="701"/>
      <c r="G26" s="701"/>
      <c r="H26" s="701"/>
      <c r="I26" s="701"/>
      <c r="J26" s="701"/>
      <c r="K26" s="701"/>
      <c r="L26" s="701"/>
      <c r="M26" s="701"/>
      <c r="N26" s="701"/>
      <c r="O26" s="38"/>
      <c r="P26" s="38"/>
      <c r="Q26" s="38"/>
      <c r="R26" s="218"/>
      <c r="S26" s="31"/>
      <c r="T26" s="31"/>
    </row>
    <row r="27" spans="1:20" ht="12.75">
      <c r="A27" s="31"/>
      <c r="B27" s="31"/>
      <c r="C27" s="31"/>
      <c r="D27" s="31"/>
      <c r="E27" s="31"/>
      <c r="F27" s="31"/>
      <c r="G27" s="31"/>
      <c r="H27" s="31"/>
      <c r="I27" s="31"/>
      <c r="J27" s="31"/>
      <c r="K27" s="31"/>
      <c r="L27" s="31"/>
      <c r="M27" s="31"/>
      <c r="N27" s="31"/>
      <c r="O27" s="31"/>
      <c r="P27" s="31"/>
      <c r="Q27" s="31"/>
      <c r="R27" s="31"/>
      <c r="S27" s="31"/>
      <c r="T27" s="31"/>
    </row>
    <row r="28" spans="1:20" ht="12.75">
      <c r="A28" s="31"/>
      <c r="B28" s="31"/>
      <c r="C28" s="31"/>
      <c r="D28" s="31"/>
      <c r="E28" s="31"/>
      <c r="F28" s="31"/>
      <c r="G28" s="31"/>
      <c r="H28" s="31"/>
      <c r="I28" s="31"/>
      <c r="J28" s="31"/>
      <c r="K28" s="31"/>
      <c r="L28" s="31"/>
      <c r="M28" s="31"/>
      <c r="N28" s="31"/>
      <c r="O28" s="31"/>
      <c r="P28" s="31"/>
      <c r="Q28" s="31"/>
      <c r="R28" s="31"/>
      <c r="S28" s="31"/>
      <c r="T28" s="31"/>
    </row>
  </sheetData>
  <sheetProtection/>
  <mergeCells count="2">
    <mergeCell ref="E9:Q9"/>
    <mergeCell ref="E2:Q2"/>
  </mergeCells>
  <printOptions/>
  <pageMargins left="0.75" right="0.75" top="1" bottom="1" header="0.5" footer="0.5"/>
  <pageSetup fitToHeight="1" fitToWidth="1" horizontalDpi="600" verticalDpi="600" orientation="landscape" paperSize="3" r:id="rId1"/>
</worksheet>
</file>

<file path=xl/worksheets/sheet9.xml><?xml version="1.0" encoding="utf-8"?>
<worksheet xmlns="http://schemas.openxmlformats.org/spreadsheetml/2006/main" xmlns:r="http://schemas.openxmlformats.org/officeDocument/2006/relationships">
  <sheetPr>
    <pageSetUpPr fitToPage="1"/>
  </sheetPr>
  <dimension ref="A1:R57"/>
  <sheetViews>
    <sheetView zoomScalePageLayoutView="0" workbookViewId="0" topLeftCell="A1">
      <selection activeCell="F45" sqref="F45"/>
    </sheetView>
  </sheetViews>
  <sheetFormatPr defaultColWidth="9.140625" defaultRowHeight="12.75"/>
  <sheetData>
    <row r="1" spans="1:18" ht="15">
      <c r="A1" s="716" t="s">
        <v>553</v>
      </c>
      <c r="B1" s="707"/>
      <c r="C1" s="707"/>
      <c r="D1" s="707"/>
      <c r="E1" s="707"/>
      <c r="F1" s="707"/>
      <c r="G1" s="707"/>
      <c r="H1" s="707"/>
      <c r="I1" s="707"/>
      <c r="J1" s="707"/>
      <c r="K1" s="707"/>
      <c r="L1" s="707"/>
      <c r="M1" s="707"/>
      <c r="N1" s="707"/>
      <c r="O1" s="707"/>
      <c r="P1" s="707"/>
      <c r="Q1" s="708"/>
      <c r="R1" s="708"/>
    </row>
    <row r="2" spans="1:18" ht="15">
      <c r="A2" s="707"/>
      <c r="B2" s="707"/>
      <c r="C2" s="707"/>
      <c r="D2" s="707"/>
      <c r="E2" s="707"/>
      <c r="F2" s="707"/>
      <c r="G2" s="707"/>
      <c r="H2" s="707"/>
      <c r="I2" s="707"/>
      <c r="J2" s="707"/>
      <c r="K2" s="707"/>
      <c r="L2" s="707"/>
      <c r="M2" s="707"/>
      <c r="N2" s="707"/>
      <c r="O2" s="707"/>
      <c r="P2" s="707"/>
      <c r="Q2" s="708"/>
      <c r="R2" s="708"/>
    </row>
    <row r="3" spans="1:18" ht="15">
      <c r="A3" s="707" t="s">
        <v>578</v>
      </c>
      <c r="B3" s="707"/>
      <c r="C3" s="707"/>
      <c r="D3" s="707"/>
      <c r="E3" s="707"/>
      <c r="F3" s="707"/>
      <c r="G3" s="707"/>
      <c r="H3" s="707"/>
      <c r="I3" s="707"/>
      <c r="J3" s="707"/>
      <c r="K3" s="707"/>
      <c r="L3" s="707"/>
      <c r="M3" s="707"/>
      <c r="N3" s="707"/>
      <c r="O3" s="707"/>
      <c r="P3" s="707"/>
      <c r="Q3" s="708"/>
      <c r="R3" s="708"/>
    </row>
    <row r="4" spans="1:18" ht="15">
      <c r="A4" s="707" t="s">
        <v>251</v>
      </c>
      <c r="B4" s="707"/>
      <c r="C4" s="707"/>
      <c r="D4" s="707"/>
      <c r="E4" s="707"/>
      <c r="F4" s="707"/>
      <c r="G4" s="707"/>
      <c r="H4" s="707"/>
      <c r="I4" s="707"/>
      <c r="J4" s="707"/>
      <c r="K4" s="707"/>
      <c r="L4" s="707"/>
      <c r="M4" s="707"/>
      <c r="N4" s="707"/>
      <c r="O4" s="707"/>
      <c r="P4" s="707"/>
      <c r="Q4" s="708"/>
      <c r="R4" s="708"/>
    </row>
    <row r="5" spans="1:18" ht="15">
      <c r="A5" s="707" t="s">
        <v>579</v>
      </c>
      <c r="B5" s="707"/>
      <c r="C5" s="707"/>
      <c r="D5" s="707"/>
      <c r="E5" s="707"/>
      <c r="F5" s="707"/>
      <c r="G5" s="707"/>
      <c r="H5" s="707"/>
      <c r="I5" s="707"/>
      <c r="J5" s="707"/>
      <c r="K5" s="707"/>
      <c r="L5" s="707"/>
      <c r="M5" s="707"/>
      <c r="N5" s="707"/>
      <c r="O5" s="707"/>
      <c r="P5" s="707"/>
      <c r="Q5" s="708"/>
      <c r="R5" s="708"/>
    </row>
    <row r="6" spans="1:18" ht="15">
      <c r="A6" s="707" t="s">
        <v>253</v>
      </c>
      <c r="B6" s="707"/>
      <c r="C6" s="707"/>
      <c r="D6" s="707"/>
      <c r="E6" s="707"/>
      <c r="F6" s="707"/>
      <c r="G6" s="707"/>
      <c r="H6" s="707"/>
      <c r="I6" s="707"/>
      <c r="J6" s="707"/>
      <c r="K6" s="707"/>
      <c r="L6" s="707"/>
      <c r="M6" s="707"/>
      <c r="N6" s="707"/>
      <c r="O6" s="707"/>
      <c r="P6" s="707"/>
      <c r="Q6" s="708"/>
      <c r="R6" s="708"/>
    </row>
    <row r="7" spans="1:18" ht="15">
      <c r="A7" s="707" t="s">
        <v>254</v>
      </c>
      <c r="B7" s="707"/>
      <c r="C7" s="707"/>
      <c r="D7" s="707"/>
      <c r="E7" s="707"/>
      <c r="F7" s="707"/>
      <c r="G7" s="707"/>
      <c r="H7" s="707"/>
      <c r="I7" s="707"/>
      <c r="J7" s="707"/>
      <c r="K7" s="707"/>
      <c r="L7" s="707"/>
      <c r="M7" s="707"/>
      <c r="N7" s="707"/>
      <c r="O7" s="707"/>
      <c r="P7" s="707"/>
      <c r="Q7" s="708"/>
      <c r="R7" s="708"/>
    </row>
    <row r="8" spans="1:18" ht="15">
      <c r="A8" s="707" t="s">
        <v>574</v>
      </c>
      <c r="B8" s="707"/>
      <c r="C8" s="707"/>
      <c r="D8" s="707"/>
      <c r="E8" s="707"/>
      <c r="F8" s="707"/>
      <c r="G8" s="707"/>
      <c r="H8" s="707"/>
      <c r="I8" s="707"/>
      <c r="J8" s="707"/>
      <c r="K8" s="707"/>
      <c r="L8" s="707"/>
      <c r="M8" s="707"/>
      <c r="N8" s="707"/>
      <c r="O8" s="707"/>
      <c r="P8" s="707"/>
      <c r="Q8" s="708"/>
      <c r="R8" s="708"/>
    </row>
    <row r="9" spans="1:18" ht="15">
      <c r="A9" s="707" t="s">
        <v>306</v>
      </c>
      <c r="B9" s="707"/>
      <c r="C9" s="707"/>
      <c r="D9" s="707"/>
      <c r="E9" s="707"/>
      <c r="F9" s="707"/>
      <c r="G9" s="707"/>
      <c r="H9" s="707"/>
      <c r="I9" s="707"/>
      <c r="J9" s="707"/>
      <c r="K9" s="707"/>
      <c r="L9" s="707"/>
      <c r="M9" s="707"/>
      <c r="N9" s="707"/>
      <c r="O9" s="707"/>
      <c r="P9" s="707"/>
      <c r="Q9" s="708"/>
      <c r="R9" s="708"/>
    </row>
    <row r="10" spans="1:18" ht="15">
      <c r="A10" s="707" t="s">
        <v>252</v>
      </c>
      <c r="B10" s="707"/>
      <c r="C10" s="707"/>
      <c r="D10" s="707"/>
      <c r="E10" s="707"/>
      <c r="F10" s="707"/>
      <c r="G10" s="707"/>
      <c r="H10" s="707"/>
      <c r="I10" s="707"/>
      <c r="J10" s="707"/>
      <c r="K10" s="707"/>
      <c r="L10" s="707"/>
      <c r="M10" s="707"/>
      <c r="N10" s="707"/>
      <c r="O10" s="707"/>
      <c r="P10" s="707"/>
      <c r="Q10" s="708"/>
      <c r="R10" s="708"/>
    </row>
    <row r="11" spans="1:18" ht="15">
      <c r="A11" s="707" t="s">
        <v>307</v>
      </c>
      <c r="B11" s="707"/>
      <c r="C11" s="707"/>
      <c r="D11" s="707"/>
      <c r="E11" s="707"/>
      <c r="F11" s="707"/>
      <c r="G11" s="707"/>
      <c r="H11" s="707"/>
      <c r="I11" s="707"/>
      <c r="J11" s="707"/>
      <c r="K11" s="707"/>
      <c r="L11" s="707"/>
      <c r="M11" s="707"/>
      <c r="N11" s="707"/>
      <c r="O11" s="707"/>
      <c r="P11" s="707"/>
      <c r="Q11" s="708"/>
      <c r="R11" s="708"/>
    </row>
    <row r="12" spans="1:18" ht="15">
      <c r="A12" s="707" t="s">
        <v>255</v>
      </c>
      <c r="B12" s="707"/>
      <c r="C12" s="707"/>
      <c r="D12" s="707"/>
      <c r="E12" s="707"/>
      <c r="F12" s="707"/>
      <c r="G12" s="707"/>
      <c r="H12" s="707"/>
      <c r="I12" s="707"/>
      <c r="J12" s="707"/>
      <c r="K12" s="707"/>
      <c r="L12" s="707"/>
      <c r="M12" s="707"/>
      <c r="N12" s="707"/>
      <c r="O12" s="707"/>
      <c r="P12" s="707"/>
      <c r="Q12" s="708"/>
      <c r="R12" s="708"/>
    </row>
    <row r="13" spans="1:18" ht="15">
      <c r="A13" s="707" t="s">
        <v>290</v>
      </c>
      <c r="B13" s="707"/>
      <c r="C13" s="707"/>
      <c r="D13" s="707"/>
      <c r="E13" s="707"/>
      <c r="F13" s="707"/>
      <c r="G13" s="707"/>
      <c r="H13" s="707"/>
      <c r="I13" s="707"/>
      <c r="J13" s="707"/>
      <c r="K13" s="707"/>
      <c r="L13" s="707"/>
      <c r="M13" s="707"/>
      <c r="N13" s="707"/>
      <c r="O13" s="707"/>
      <c r="P13" s="707"/>
      <c r="Q13" s="708"/>
      <c r="R13" s="708"/>
    </row>
    <row r="14" spans="1:18" ht="15">
      <c r="A14" s="707"/>
      <c r="B14" s="707"/>
      <c r="C14" s="707"/>
      <c r="D14" s="707"/>
      <c r="E14" s="707"/>
      <c r="F14" s="707"/>
      <c r="G14" s="707"/>
      <c r="H14" s="707"/>
      <c r="I14" s="707"/>
      <c r="J14" s="707"/>
      <c r="K14" s="707"/>
      <c r="L14" s="707"/>
      <c r="M14" s="707"/>
      <c r="N14" s="707"/>
      <c r="O14" s="707"/>
      <c r="P14" s="707"/>
      <c r="Q14" s="708"/>
      <c r="R14" s="708"/>
    </row>
    <row r="15" spans="1:18" ht="15">
      <c r="A15" s="709"/>
      <c r="B15" s="707"/>
      <c r="C15" s="707"/>
      <c r="D15" s="707"/>
      <c r="E15" s="707"/>
      <c r="F15" s="707"/>
      <c r="G15" s="707"/>
      <c r="H15" s="707"/>
      <c r="I15" s="707"/>
      <c r="J15" s="707"/>
      <c r="K15" s="707"/>
      <c r="L15" s="707"/>
      <c r="M15" s="707"/>
      <c r="N15" s="707"/>
      <c r="O15" s="707"/>
      <c r="P15" s="707"/>
      <c r="Q15" s="708"/>
      <c r="R15" s="708"/>
    </row>
    <row r="16" spans="1:18" ht="15">
      <c r="A16" s="707"/>
      <c r="B16" s="709"/>
      <c r="C16" s="707"/>
      <c r="D16" s="707"/>
      <c r="E16" s="707"/>
      <c r="F16" s="707"/>
      <c r="G16" s="707"/>
      <c r="H16" s="707"/>
      <c r="I16" s="707"/>
      <c r="J16" s="707"/>
      <c r="K16" s="707"/>
      <c r="L16" s="707"/>
      <c r="M16" s="707"/>
      <c r="N16" s="707"/>
      <c r="O16" s="707"/>
      <c r="P16" s="707"/>
      <c r="Q16" s="708"/>
      <c r="R16" s="708"/>
    </row>
    <row r="17" spans="1:18" ht="15.75">
      <c r="A17" s="711" t="s">
        <v>576</v>
      </c>
      <c r="B17" s="707"/>
      <c r="C17" s="707"/>
      <c r="D17" s="707"/>
      <c r="E17" s="707"/>
      <c r="F17" s="707"/>
      <c r="G17" s="707"/>
      <c r="H17" s="707"/>
      <c r="I17" s="707"/>
      <c r="J17" s="707"/>
      <c r="K17" s="707"/>
      <c r="L17" s="707"/>
      <c r="M17" s="707"/>
      <c r="N17" s="707"/>
      <c r="O17" s="707"/>
      <c r="P17" s="707"/>
      <c r="Q17" s="708"/>
      <c r="R17" s="708"/>
    </row>
    <row r="18" spans="1:18" ht="15">
      <c r="A18" s="709" t="s">
        <v>554</v>
      </c>
      <c r="B18" s="707"/>
      <c r="C18" s="707"/>
      <c r="D18" s="707"/>
      <c r="E18" s="707"/>
      <c r="F18" s="707"/>
      <c r="G18" s="707"/>
      <c r="H18" s="707"/>
      <c r="I18" s="707"/>
      <c r="J18" s="707"/>
      <c r="K18" s="707"/>
      <c r="L18" s="707"/>
      <c r="M18" s="707"/>
      <c r="N18" s="707"/>
      <c r="O18" s="707"/>
      <c r="P18" s="707"/>
      <c r="Q18" s="708"/>
      <c r="R18" s="708"/>
    </row>
    <row r="19" spans="1:18" ht="15">
      <c r="A19" s="709" t="s">
        <v>555</v>
      </c>
      <c r="B19" s="707"/>
      <c r="C19" s="707"/>
      <c r="D19" s="707"/>
      <c r="E19" s="707"/>
      <c r="F19" s="707"/>
      <c r="G19" s="707"/>
      <c r="H19" s="707"/>
      <c r="I19" s="707"/>
      <c r="J19" s="707"/>
      <c r="K19" s="707"/>
      <c r="L19" s="707"/>
      <c r="M19" s="707"/>
      <c r="N19" s="707"/>
      <c r="O19" s="707"/>
      <c r="P19" s="707"/>
      <c r="Q19" s="708"/>
      <c r="R19" s="708"/>
    </row>
    <row r="20" spans="1:18" ht="15">
      <c r="A20" s="709" t="s">
        <v>556</v>
      </c>
      <c r="B20" s="707"/>
      <c r="C20" s="707"/>
      <c r="D20" s="707"/>
      <c r="E20" s="707"/>
      <c r="F20" s="707"/>
      <c r="G20" s="707"/>
      <c r="H20" s="707"/>
      <c r="I20" s="707"/>
      <c r="J20" s="707"/>
      <c r="K20" s="707"/>
      <c r="L20" s="707"/>
      <c r="M20" s="707"/>
      <c r="N20" s="707"/>
      <c r="O20" s="707"/>
      <c r="P20" s="707"/>
      <c r="Q20" s="708"/>
      <c r="R20" s="708"/>
    </row>
    <row r="21" spans="1:18" ht="15">
      <c r="A21" s="709" t="s">
        <v>557</v>
      </c>
      <c r="B21" s="707"/>
      <c r="C21" s="707"/>
      <c r="D21" s="707"/>
      <c r="E21" s="707"/>
      <c r="F21" s="707"/>
      <c r="G21" s="707"/>
      <c r="H21" s="707"/>
      <c r="I21" s="707"/>
      <c r="J21" s="707"/>
      <c r="K21" s="707"/>
      <c r="L21" s="707"/>
      <c r="M21" s="707"/>
      <c r="N21" s="707"/>
      <c r="O21" s="707"/>
      <c r="P21" s="707"/>
      <c r="Q21" s="708"/>
      <c r="R21" s="708"/>
    </row>
    <row r="22" spans="1:18" ht="15.75">
      <c r="A22" s="709" t="s">
        <v>575</v>
      </c>
      <c r="B22" s="707"/>
      <c r="C22" s="707"/>
      <c r="D22" s="707"/>
      <c r="E22" s="707"/>
      <c r="F22" s="707"/>
      <c r="G22" s="707"/>
      <c r="H22" s="707"/>
      <c r="I22" s="707"/>
      <c r="J22" s="707"/>
      <c r="K22" s="707"/>
      <c r="L22" s="707"/>
      <c r="M22" s="707"/>
      <c r="N22" s="707"/>
      <c r="O22" s="707"/>
      <c r="P22" s="707"/>
      <c r="Q22" s="708"/>
      <c r="R22" s="708"/>
    </row>
    <row r="23" spans="1:18" ht="15">
      <c r="A23" s="707"/>
      <c r="B23" s="707"/>
      <c r="C23" s="707"/>
      <c r="D23" s="707"/>
      <c r="E23" s="707"/>
      <c r="F23" s="707"/>
      <c r="G23" s="707"/>
      <c r="H23" s="707"/>
      <c r="I23" s="707"/>
      <c r="J23" s="707"/>
      <c r="K23" s="707"/>
      <c r="L23" s="707"/>
      <c r="M23" s="707"/>
      <c r="N23" s="707"/>
      <c r="O23" s="707"/>
      <c r="P23" s="707"/>
      <c r="Q23" s="708"/>
      <c r="R23" s="708"/>
    </row>
    <row r="24" spans="1:18" ht="33" customHeight="1">
      <c r="A24" s="743" t="s">
        <v>569</v>
      </c>
      <c r="B24" s="744"/>
      <c r="C24" s="744"/>
      <c r="D24" s="744"/>
      <c r="E24" s="744"/>
      <c r="F24" s="744"/>
      <c r="G24" s="744"/>
      <c r="H24" s="744"/>
      <c r="I24" s="744"/>
      <c r="J24" s="744"/>
      <c r="K24" s="744"/>
      <c r="L24" s="744"/>
      <c r="M24" s="744"/>
      <c r="N24" s="744"/>
      <c r="O24" s="744"/>
      <c r="P24" s="744"/>
      <c r="Q24" s="744"/>
      <c r="R24" s="744"/>
    </row>
    <row r="25" spans="1:18" ht="33" customHeight="1">
      <c r="A25" s="710"/>
      <c r="B25" s="712"/>
      <c r="C25" s="712"/>
      <c r="D25" s="712"/>
      <c r="E25" s="712"/>
      <c r="F25" s="712"/>
      <c r="G25" s="712"/>
      <c r="H25" s="712"/>
      <c r="I25" s="712"/>
      <c r="J25" s="712"/>
      <c r="K25" s="712"/>
      <c r="L25" s="712"/>
      <c r="M25" s="712"/>
      <c r="N25" s="712"/>
      <c r="O25" s="712"/>
      <c r="P25" s="712"/>
      <c r="Q25" s="712"/>
      <c r="R25" s="712"/>
    </row>
    <row r="26" spans="1:18" ht="15">
      <c r="A26" s="707" t="s">
        <v>558</v>
      </c>
      <c r="B26" s="707"/>
      <c r="C26" s="707"/>
      <c r="D26" s="707"/>
      <c r="E26" s="707"/>
      <c r="F26" s="707"/>
      <c r="G26" s="707"/>
      <c r="H26" s="707"/>
      <c r="I26" s="707"/>
      <c r="J26" s="707"/>
      <c r="K26" s="707"/>
      <c r="L26" s="707"/>
      <c r="M26" s="707"/>
      <c r="N26" s="707"/>
      <c r="O26" s="707"/>
      <c r="P26" s="707"/>
      <c r="Q26" s="708"/>
      <c r="R26" s="708"/>
    </row>
    <row r="27" spans="1:18" ht="15">
      <c r="A27" s="707" t="s">
        <v>577</v>
      </c>
      <c r="B27" s="707"/>
      <c r="C27" s="707"/>
      <c r="D27" s="707"/>
      <c r="E27" s="707"/>
      <c r="F27" s="707"/>
      <c r="G27" s="707"/>
      <c r="H27" s="707"/>
      <c r="I27" s="707"/>
      <c r="J27" s="707"/>
      <c r="K27" s="707"/>
      <c r="L27" s="707"/>
      <c r="M27" s="707"/>
      <c r="N27" s="707"/>
      <c r="O27" s="707"/>
      <c r="P27" s="707"/>
      <c r="Q27" s="708"/>
      <c r="R27" s="708"/>
    </row>
    <row r="28" spans="1:18" ht="15">
      <c r="A28" s="709" t="s">
        <v>559</v>
      </c>
      <c r="B28" s="707"/>
      <c r="C28" s="707"/>
      <c r="D28" s="707"/>
      <c r="E28" s="707"/>
      <c r="F28" s="707"/>
      <c r="G28" s="707"/>
      <c r="H28" s="707"/>
      <c r="I28" s="707"/>
      <c r="J28" s="707"/>
      <c r="K28" s="707"/>
      <c r="L28" s="707"/>
      <c r="M28" s="707"/>
      <c r="N28" s="707"/>
      <c r="O28" s="707"/>
      <c r="P28" s="707"/>
      <c r="Q28" s="708"/>
      <c r="R28" s="708"/>
    </row>
    <row r="29" spans="1:18" ht="15">
      <c r="A29" s="709" t="s">
        <v>560</v>
      </c>
      <c r="B29" s="707"/>
      <c r="C29" s="707"/>
      <c r="D29" s="707"/>
      <c r="E29" s="707"/>
      <c r="F29" s="707"/>
      <c r="G29" s="707"/>
      <c r="H29" s="707"/>
      <c r="I29" s="707"/>
      <c r="J29" s="707"/>
      <c r="K29" s="707"/>
      <c r="L29" s="707"/>
      <c r="M29" s="707"/>
      <c r="N29" s="707"/>
      <c r="O29" s="707"/>
      <c r="P29" s="707"/>
      <c r="Q29" s="708"/>
      <c r="R29" s="708"/>
    </row>
    <row r="30" spans="1:18" ht="15">
      <c r="A30" s="709" t="s">
        <v>561</v>
      </c>
      <c r="B30" s="707"/>
      <c r="C30" s="707"/>
      <c r="D30" s="707"/>
      <c r="E30" s="707"/>
      <c r="F30" s="707"/>
      <c r="G30" s="707"/>
      <c r="H30" s="707"/>
      <c r="I30" s="707"/>
      <c r="J30" s="707"/>
      <c r="K30" s="707"/>
      <c r="L30" s="707"/>
      <c r="M30" s="707"/>
      <c r="N30" s="707"/>
      <c r="O30" s="707"/>
      <c r="P30" s="707"/>
      <c r="Q30" s="708"/>
      <c r="R30" s="708"/>
    </row>
    <row r="31" spans="1:18" ht="15">
      <c r="A31" s="709" t="s">
        <v>562</v>
      </c>
      <c r="B31" s="707"/>
      <c r="C31" s="707"/>
      <c r="D31" s="707"/>
      <c r="E31" s="707"/>
      <c r="F31" s="707"/>
      <c r="G31" s="707"/>
      <c r="H31" s="707"/>
      <c r="I31" s="707"/>
      <c r="J31" s="707"/>
      <c r="K31" s="707"/>
      <c r="L31" s="707"/>
      <c r="M31" s="707"/>
      <c r="N31" s="707"/>
      <c r="O31" s="707"/>
      <c r="P31" s="707"/>
      <c r="Q31" s="708"/>
      <c r="R31" s="708"/>
    </row>
    <row r="32" spans="1:18" ht="15">
      <c r="A32" s="709" t="s">
        <v>563</v>
      </c>
      <c r="B32" s="707"/>
      <c r="C32" s="707"/>
      <c r="D32" s="707"/>
      <c r="E32" s="707"/>
      <c r="F32" s="707"/>
      <c r="G32" s="707"/>
      <c r="H32" s="707"/>
      <c r="I32" s="707"/>
      <c r="J32" s="707"/>
      <c r="K32" s="707"/>
      <c r="L32" s="707"/>
      <c r="M32" s="707"/>
      <c r="N32" s="707"/>
      <c r="O32" s="707"/>
      <c r="P32" s="707"/>
      <c r="Q32" s="708"/>
      <c r="R32" s="708"/>
    </row>
    <row r="33" spans="1:18" ht="15">
      <c r="A33" s="709" t="s">
        <v>564</v>
      </c>
      <c r="B33" s="707"/>
      <c r="C33" s="707"/>
      <c r="D33" s="707"/>
      <c r="E33" s="707"/>
      <c r="F33" s="707"/>
      <c r="G33" s="707"/>
      <c r="H33" s="707"/>
      <c r="I33" s="707"/>
      <c r="J33" s="707"/>
      <c r="K33" s="707"/>
      <c r="L33" s="707"/>
      <c r="M33" s="707"/>
      <c r="N33" s="707"/>
      <c r="O33" s="707"/>
      <c r="P33" s="707"/>
      <c r="Q33" s="708"/>
      <c r="R33" s="708"/>
    </row>
    <row r="34" spans="1:18" ht="15">
      <c r="A34" s="709" t="s">
        <v>260</v>
      </c>
      <c r="B34" s="707"/>
      <c r="C34" s="707"/>
      <c r="D34" s="707"/>
      <c r="E34" s="707"/>
      <c r="F34" s="707"/>
      <c r="G34" s="707"/>
      <c r="H34" s="707"/>
      <c r="I34" s="707"/>
      <c r="J34" s="707"/>
      <c r="K34" s="707"/>
      <c r="L34" s="707"/>
      <c r="M34" s="707"/>
      <c r="N34" s="707"/>
      <c r="O34" s="707"/>
      <c r="P34" s="707"/>
      <c r="Q34" s="708"/>
      <c r="R34" s="708"/>
    </row>
    <row r="35" spans="1:18" ht="15">
      <c r="A35" s="709" t="s">
        <v>570</v>
      </c>
      <c r="B35" s="707"/>
      <c r="C35" s="707"/>
      <c r="D35" s="707"/>
      <c r="E35" s="707"/>
      <c r="F35" s="707"/>
      <c r="G35" s="707"/>
      <c r="H35" s="707"/>
      <c r="I35" s="707"/>
      <c r="J35" s="707"/>
      <c r="K35" s="707"/>
      <c r="L35" s="707"/>
      <c r="M35" s="707"/>
      <c r="N35" s="707"/>
      <c r="O35" s="707"/>
      <c r="P35" s="707"/>
      <c r="Q35" s="708"/>
      <c r="R35" s="708"/>
    </row>
    <row r="36" spans="1:18" ht="15">
      <c r="A36" s="709" t="s">
        <v>565</v>
      </c>
      <c r="B36" s="707"/>
      <c r="C36" s="707"/>
      <c r="D36" s="707"/>
      <c r="E36" s="707"/>
      <c r="F36" s="707"/>
      <c r="G36" s="707"/>
      <c r="H36" s="707"/>
      <c r="I36" s="707"/>
      <c r="J36" s="707"/>
      <c r="K36" s="707"/>
      <c r="L36" s="707"/>
      <c r="M36" s="707"/>
      <c r="N36" s="707"/>
      <c r="O36" s="707"/>
      <c r="P36" s="707"/>
      <c r="Q36" s="708"/>
      <c r="R36" s="708"/>
    </row>
    <row r="37" spans="1:18" ht="15">
      <c r="A37" s="709" t="s">
        <v>566</v>
      </c>
      <c r="B37" s="707"/>
      <c r="C37" s="707"/>
      <c r="D37" s="707"/>
      <c r="E37" s="707"/>
      <c r="F37" s="707"/>
      <c r="G37" s="707"/>
      <c r="H37" s="707"/>
      <c r="I37" s="707"/>
      <c r="J37" s="707"/>
      <c r="K37" s="707"/>
      <c r="L37" s="707"/>
      <c r="M37" s="707"/>
      <c r="N37" s="707"/>
      <c r="O37" s="707"/>
      <c r="P37" s="707"/>
      <c r="Q37" s="708"/>
      <c r="R37" s="708"/>
    </row>
    <row r="38" spans="1:18" ht="15">
      <c r="A38" s="709" t="s">
        <v>567</v>
      </c>
      <c r="B38" s="707"/>
      <c r="C38" s="707"/>
      <c r="D38" s="707"/>
      <c r="E38" s="707"/>
      <c r="F38" s="707"/>
      <c r="G38" s="707"/>
      <c r="H38" s="707"/>
      <c r="I38" s="707"/>
      <c r="J38" s="707"/>
      <c r="K38" s="707"/>
      <c r="L38" s="707"/>
      <c r="M38" s="707"/>
      <c r="N38" s="707"/>
      <c r="O38" s="707"/>
      <c r="P38" s="707"/>
      <c r="Q38" s="708"/>
      <c r="R38" s="708"/>
    </row>
    <row r="39" spans="1:18" ht="15">
      <c r="A39" s="709" t="s">
        <v>568</v>
      </c>
      <c r="B39" s="707"/>
      <c r="C39" s="707"/>
      <c r="D39" s="707"/>
      <c r="E39" s="707"/>
      <c r="F39" s="707"/>
      <c r="G39" s="707"/>
      <c r="H39" s="707"/>
      <c r="I39" s="707"/>
      <c r="J39" s="707"/>
      <c r="K39" s="707"/>
      <c r="L39" s="707"/>
      <c r="M39" s="707"/>
      <c r="N39" s="707"/>
      <c r="O39" s="707"/>
      <c r="P39" s="707"/>
      <c r="Q39" s="708"/>
      <c r="R39" s="708"/>
    </row>
    <row r="40" spans="1:18" ht="15">
      <c r="A40" s="709"/>
      <c r="B40" s="707"/>
      <c r="C40" s="707"/>
      <c r="D40" s="707"/>
      <c r="E40" s="707"/>
      <c r="F40" s="707"/>
      <c r="G40" s="707"/>
      <c r="H40" s="707"/>
      <c r="I40" s="707"/>
      <c r="J40" s="707"/>
      <c r="K40" s="707"/>
      <c r="L40" s="707"/>
      <c r="M40" s="707"/>
      <c r="N40" s="707"/>
      <c r="O40" s="707"/>
      <c r="P40" s="707"/>
      <c r="Q40" s="708"/>
      <c r="R40" s="708"/>
    </row>
    <row r="41" spans="1:18" ht="15">
      <c r="A41" s="707"/>
      <c r="B41" s="707"/>
      <c r="C41" s="707"/>
      <c r="D41" s="707"/>
      <c r="E41" s="707"/>
      <c r="F41" s="707"/>
      <c r="G41" s="707"/>
      <c r="H41" s="707"/>
      <c r="I41" s="707"/>
      <c r="J41" s="707"/>
      <c r="K41" s="707"/>
      <c r="L41" s="707"/>
      <c r="M41" s="707"/>
      <c r="N41" s="707"/>
      <c r="O41" s="707"/>
      <c r="P41" s="707"/>
      <c r="Q41" s="708"/>
      <c r="R41" s="708"/>
    </row>
    <row r="42" spans="1:18" ht="15.75">
      <c r="A42" s="713"/>
      <c r="B42" s="707"/>
      <c r="C42" s="707"/>
      <c r="D42" s="707"/>
      <c r="E42" s="707"/>
      <c r="F42" s="707"/>
      <c r="G42" s="707"/>
      <c r="H42" s="707"/>
      <c r="I42" s="707"/>
      <c r="J42" s="707"/>
      <c r="K42" s="707"/>
      <c r="L42" s="707"/>
      <c r="M42" s="707"/>
      <c r="N42" s="707"/>
      <c r="O42" s="707"/>
      <c r="P42" s="707"/>
      <c r="Q42" s="708"/>
      <c r="R42" s="708"/>
    </row>
    <row r="43" spans="1:18" ht="15">
      <c r="A43" s="709"/>
      <c r="B43" s="707"/>
      <c r="C43" s="707"/>
      <c r="D43" s="707"/>
      <c r="E43" s="707"/>
      <c r="F43" s="707"/>
      <c r="G43" s="707"/>
      <c r="H43" s="707"/>
      <c r="I43" s="707"/>
      <c r="J43" s="707"/>
      <c r="K43" s="707"/>
      <c r="L43" s="707"/>
      <c r="M43" s="707"/>
      <c r="N43" s="707"/>
      <c r="O43" s="707"/>
      <c r="P43" s="707"/>
      <c r="Q43" s="708"/>
      <c r="R43" s="708"/>
    </row>
    <row r="44" spans="1:18" ht="15">
      <c r="A44" s="709"/>
      <c r="B44" s="707"/>
      <c r="C44" s="707"/>
      <c r="D44" s="707"/>
      <c r="E44" s="707"/>
      <c r="F44" s="707"/>
      <c r="G44" s="707"/>
      <c r="H44" s="707"/>
      <c r="I44" s="707"/>
      <c r="J44" s="707"/>
      <c r="K44" s="707"/>
      <c r="L44" s="707"/>
      <c r="M44" s="707"/>
      <c r="N44" s="707"/>
      <c r="O44" s="707"/>
      <c r="P44" s="707"/>
      <c r="Q44" s="708"/>
      <c r="R44" s="708"/>
    </row>
    <row r="45" spans="1:18" ht="15">
      <c r="A45" s="709"/>
      <c r="E45" s="707"/>
      <c r="F45" s="709"/>
      <c r="G45" s="707"/>
      <c r="H45" s="707"/>
      <c r="I45" s="707"/>
      <c r="J45" s="707"/>
      <c r="K45" s="707"/>
      <c r="L45" s="707"/>
      <c r="M45" s="707"/>
      <c r="N45" s="707"/>
      <c r="O45" s="707"/>
      <c r="P45" s="707"/>
      <c r="Q45" s="708"/>
      <c r="R45" s="708"/>
    </row>
    <row r="46" spans="1:18" ht="15">
      <c r="A46" s="714"/>
      <c r="B46" s="707"/>
      <c r="C46" s="707"/>
      <c r="D46" s="707"/>
      <c r="E46" s="707"/>
      <c r="F46" s="707"/>
      <c r="G46" s="707"/>
      <c r="H46" s="707"/>
      <c r="I46" s="707"/>
      <c r="J46" s="707"/>
      <c r="K46" s="707"/>
      <c r="L46" s="707"/>
      <c r="M46" s="707"/>
      <c r="N46" s="707"/>
      <c r="O46" s="707"/>
      <c r="P46" s="707"/>
      <c r="Q46" s="708"/>
      <c r="R46" s="708"/>
    </row>
    <row r="47" spans="1:18" ht="15.75">
      <c r="A47" s="715"/>
      <c r="B47" s="707"/>
      <c r="C47" s="707"/>
      <c r="D47" s="707"/>
      <c r="E47" s="707"/>
      <c r="F47" s="707"/>
      <c r="G47" s="707"/>
      <c r="H47" s="707"/>
      <c r="I47" s="707"/>
      <c r="J47" s="707"/>
      <c r="K47" s="707"/>
      <c r="L47" s="707"/>
      <c r="M47" s="707"/>
      <c r="N47" s="707"/>
      <c r="O47" s="707"/>
      <c r="P47" s="707"/>
      <c r="Q47" s="708"/>
      <c r="R47" s="708"/>
    </row>
    <row r="48" spans="1:18" ht="15.75">
      <c r="A48" s="709" t="s">
        <v>571</v>
      </c>
      <c r="B48" s="707"/>
      <c r="C48" s="707"/>
      <c r="D48" s="707"/>
      <c r="E48" s="707"/>
      <c r="F48" s="707"/>
      <c r="G48" s="707"/>
      <c r="H48" s="707"/>
      <c r="I48" s="707"/>
      <c r="J48" s="707"/>
      <c r="K48" s="707"/>
      <c r="L48" s="707"/>
      <c r="M48" s="707"/>
      <c r="N48" s="707"/>
      <c r="O48" s="707"/>
      <c r="P48" s="707"/>
      <c r="Q48" s="708"/>
      <c r="R48" s="708"/>
    </row>
    <row r="49" spans="1:18" ht="15.75">
      <c r="A49" s="707" t="s">
        <v>572</v>
      </c>
      <c r="B49" s="707"/>
      <c r="C49" s="707"/>
      <c r="D49" s="707"/>
      <c r="E49" s="707"/>
      <c r="F49" s="707"/>
      <c r="G49" s="707"/>
      <c r="H49" s="707"/>
      <c r="I49" s="708"/>
      <c r="J49" s="708"/>
      <c r="K49" s="708"/>
      <c r="L49" s="708"/>
      <c r="M49" s="708"/>
      <c r="N49" s="708"/>
      <c r="O49" s="708"/>
      <c r="P49" s="708"/>
      <c r="Q49" s="708"/>
      <c r="R49" s="708"/>
    </row>
    <row r="50" spans="1:18" ht="15.75">
      <c r="A50" s="713" t="s">
        <v>573</v>
      </c>
      <c r="B50" s="707"/>
      <c r="C50" s="707"/>
      <c r="D50" s="707"/>
      <c r="E50" s="707"/>
      <c r="F50" s="707"/>
      <c r="G50" s="707"/>
      <c r="H50" s="707"/>
      <c r="I50" s="708"/>
      <c r="J50" s="708"/>
      <c r="K50" s="708"/>
      <c r="L50" s="708"/>
      <c r="M50" s="708"/>
      <c r="N50" s="708"/>
      <c r="O50" s="708"/>
      <c r="P50" s="708"/>
      <c r="Q50" s="708"/>
      <c r="R50" s="708"/>
    </row>
    <row r="51" spans="1:18" ht="12.75">
      <c r="A51" s="708"/>
      <c r="B51" s="708"/>
      <c r="C51" s="708"/>
      <c r="D51" s="708"/>
      <c r="E51" s="708"/>
      <c r="F51" s="708"/>
      <c r="G51" s="708"/>
      <c r="H51" s="708"/>
      <c r="I51" s="708"/>
      <c r="J51" s="708"/>
      <c r="K51" s="708"/>
      <c r="L51" s="708"/>
      <c r="M51" s="708"/>
      <c r="N51" s="708"/>
      <c r="O51" s="708"/>
      <c r="P51" s="708"/>
      <c r="Q51" s="708"/>
      <c r="R51" s="708"/>
    </row>
    <row r="52" spans="1:18" ht="12.75">
      <c r="A52" s="708"/>
      <c r="B52" s="708"/>
      <c r="C52" s="708"/>
      <c r="D52" s="708"/>
      <c r="E52" s="708"/>
      <c r="F52" s="708"/>
      <c r="G52" s="708"/>
      <c r="H52" s="708"/>
      <c r="I52" s="708"/>
      <c r="J52" s="708"/>
      <c r="K52" s="708"/>
      <c r="L52" s="708"/>
      <c r="M52" s="708"/>
      <c r="N52" s="708"/>
      <c r="O52" s="708"/>
      <c r="P52" s="708"/>
      <c r="Q52" s="708"/>
      <c r="R52" s="708"/>
    </row>
    <row r="53" spans="1:18" ht="12.75">
      <c r="A53" s="708"/>
      <c r="B53" s="708"/>
      <c r="C53" s="708"/>
      <c r="D53" s="708"/>
      <c r="E53" s="708"/>
      <c r="F53" s="708"/>
      <c r="G53" s="708"/>
      <c r="H53" s="708"/>
      <c r="I53" s="708"/>
      <c r="J53" s="708"/>
      <c r="K53" s="708"/>
      <c r="L53" s="708"/>
      <c r="M53" s="708"/>
      <c r="N53" s="708"/>
      <c r="O53" s="708"/>
      <c r="P53" s="708"/>
      <c r="Q53" s="708"/>
      <c r="R53" s="708"/>
    </row>
    <row r="54" spans="1:18" ht="12.75">
      <c r="A54" s="708"/>
      <c r="B54" s="708"/>
      <c r="C54" s="708"/>
      <c r="D54" s="708"/>
      <c r="E54" s="708"/>
      <c r="F54" s="708"/>
      <c r="G54" s="708"/>
      <c r="H54" s="708"/>
      <c r="I54" s="708"/>
      <c r="J54" s="708"/>
      <c r="K54" s="708"/>
      <c r="L54" s="708"/>
      <c r="M54" s="708"/>
      <c r="N54" s="708"/>
      <c r="O54" s="708"/>
      <c r="P54" s="708"/>
      <c r="Q54" s="708"/>
      <c r="R54" s="708"/>
    </row>
    <row r="55" spans="1:18" ht="12.75">
      <c r="A55" s="708"/>
      <c r="B55" s="708"/>
      <c r="C55" s="708"/>
      <c r="D55" s="708"/>
      <c r="E55" s="708"/>
      <c r="F55" s="708"/>
      <c r="G55" s="708"/>
      <c r="H55" s="708"/>
      <c r="I55" s="708"/>
      <c r="J55" s="708"/>
      <c r="K55" s="708"/>
      <c r="L55" s="708"/>
      <c r="M55" s="708"/>
      <c r="N55" s="708"/>
      <c r="O55" s="708"/>
      <c r="P55" s="708"/>
      <c r="Q55" s="708"/>
      <c r="R55" s="708"/>
    </row>
    <row r="56" spans="1:18" ht="12.75">
      <c r="A56" s="708"/>
      <c r="B56" s="708"/>
      <c r="C56" s="708"/>
      <c r="D56" s="708"/>
      <c r="E56" s="708"/>
      <c r="F56" s="708"/>
      <c r="G56" s="708"/>
      <c r="H56" s="708"/>
      <c r="I56" s="708"/>
      <c r="J56" s="708"/>
      <c r="K56" s="708"/>
      <c r="L56" s="708"/>
      <c r="M56" s="708"/>
      <c r="N56" s="708"/>
      <c r="O56" s="708"/>
      <c r="P56" s="708"/>
      <c r="Q56" s="708"/>
      <c r="R56" s="708"/>
    </row>
    <row r="57" spans="1:18" ht="12.75">
      <c r="A57" s="708"/>
      <c r="B57" s="708"/>
      <c r="C57" s="708"/>
      <c r="D57" s="708"/>
      <c r="E57" s="708"/>
      <c r="F57" s="708"/>
      <c r="G57" s="708"/>
      <c r="H57" s="708"/>
      <c r="I57" s="708"/>
      <c r="J57" s="708"/>
      <c r="K57" s="708"/>
      <c r="L57" s="708"/>
      <c r="M57" s="708"/>
      <c r="N57" s="708"/>
      <c r="O57" s="708"/>
      <c r="P57" s="708"/>
      <c r="Q57" s="708"/>
      <c r="R57" s="708"/>
    </row>
  </sheetData>
  <sheetProtection/>
  <mergeCells count="1">
    <mergeCell ref="A24:R24"/>
  </mergeCells>
  <printOptions/>
  <pageMargins left="0.75" right="0.75" top="1" bottom="1" header="0.5" footer="0.5"/>
  <pageSetup fitToHeight="1" fitToWidth="1" horizontalDpi="600" verticalDpi="600" orientation="landscape" paperSize="3"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SMARTLogix,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rmartin</dc:creator>
  <cp:keywords/>
  <dc:description/>
  <cp:lastModifiedBy>Rick Martin</cp:lastModifiedBy>
  <cp:lastPrinted>2008-11-06T17:14:17Z</cp:lastPrinted>
  <dcterms:created xsi:type="dcterms:W3CDTF">2007-01-03T17:45:00Z</dcterms:created>
  <dcterms:modified xsi:type="dcterms:W3CDTF">2013-02-19T18:14:08Z</dcterms:modified>
  <cp:category/>
  <cp:version/>
  <cp:contentType/>
  <cp:contentStatus/>
</cp:coreProperties>
</file>